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4915" windowHeight="12015" activeTab="1"/>
  </bookViews>
  <sheets>
    <sheet name="Contents" sheetId="5" r:id="rId1"/>
    <sheet name="Goods and Services Expenditure" sheetId="1" r:id="rId2"/>
    <sheet name="Capital Expenditure" sheetId="2" r:id="rId3"/>
    <sheet name="Transfer Payments" sheetId="3" r:id="rId4"/>
  </sheets>
  <definedNames>
    <definedName name="_ftn1" localSheetId="0">Contents!$A$41</definedName>
    <definedName name="_ftnref1" localSheetId="0">Contents!$A$31</definedName>
  </definedNames>
  <calcPr calcId="145621" calcOnSave="0"/>
</workbook>
</file>

<file path=xl/calcChain.xml><?xml version="1.0" encoding="utf-8"?>
<calcChain xmlns="http://schemas.openxmlformats.org/spreadsheetml/2006/main">
  <c r="X37" i="3" l="1"/>
  <c r="X36" i="3"/>
  <c r="X35" i="3"/>
  <c r="X34" i="3"/>
  <c r="X33" i="3"/>
  <c r="X32" i="3"/>
  <c r="X31" i="3"/>
  <c r="X30" i="3"/>
  <c r="X29" i="3"/>
  <c r="X28" i="3"/>
  <c r="X27" i="3"/>
  <c r="X26" i="3"/>
  <c r="X25" i="3"/>
  <c r="X24" i="3"/>
  <c r="X37" i="2"/>
  <c r="X36" i="2"/>
  <c r="X35" i="2"/>
  <c r="X34" i="2"/>
  <c r="X33" i="2"/>
  <c r="X32" i="2"/>
  <c r="X31" i="2"/>
  <c r="X30" i="2"/>
  <c r="X29" i="2"/>
  <c r="X28" i="2"/>
  <c r="X27" i="2"/>
  <c r="X26" i="2"/>
  <c r="X25" i="2"/>
  <c r="X24" i="2"/>
  <c r="AR57" i="3"/>
  <c r="AR56" i="3"/>
  <c r="AQ56" i="3"/>
  <c r="AR55" i="3"/>
  <c r="AQ55" i="3"/>
  <c r="AP55" i="3"/>
  <c r="AR54" i="3"/>
  <c r="AQ54" i="3"/>
  <c r="AP54" i="3"/>
  <c r="AO54" i="3"/>
  <c r="AR53" i="3"/>
  <c r="AQ53" i="3"/>
  <c r="AP53" i="3"/>
  <c r="AO53" i="3"/>
  <c r="AN53" i="3"/>
  <c r="AQ52" i="3"/>
  <c r="AP52" i="3"/>
  <c r="AO52" i="3"/>
  <c r="AN52" i="3"/>
  <c r="AM52" i="3"/>
  <c r="AP51" i="3"/>
  <c r="AO51" i="3"/>
  <c r="AN51" i="3"/>
  <c r="AM51" i="3"/>
  <c r="AL51" i="3"/>
  <c r="AO50" i="3"/>
  <c r="AN50" i="3"/>
  <c r="AM50" i="3"/>
  <c r="AL50" i="3"/>
  <c r="AK50" i="3"/>
  <c r="AN49" i="3"/>
  <c r="AM49" i="3"/>
  <c r="AL49" i="3"/>
  <c r="AK49" i="3"/>
  <c r="AJ49" i="3"/>
  <c r="AM48" i="3"/>
  <c r="AL48" i="3"/>
  <c r="AK48" i="3"/>
  <c r="AJ48" i="3"/>
  <c r="AI48" i="3"/>
  <c r="AL47" i="3"/>
  <c r="AK47" i="3"/>
  <c r="AJ47" i="3"/>
  <c r="AI47" i="3"/>
  <c r="AH47" i="3"/>
  <c r="AK46" i="3"/>
  <c r="AJ46" i="3"/>
  <c r="AI46" i="3"/>
  <c r="AH46" i="3"/>
  <c r="AG46" i="3"/>
  <c r="AJ45" i="3"/>
  <c r="AI45" i="3"/>
  <c r="AH45" i="3"/>
  <c r="AG45" i="3"/>
  <c r="AF45" i="3"/>
  <c r="AI44" i="3"/>
  <c r="AH44" i="3"/>
  <c r="AG44" i="3"/>
  <c r="AF44" i="3"/>
  <c r="AE44" i="3"/>
  <c r="AH43" i="3"/>
  <c r="AG43" i="3"/>
  <c r="AF43" i="3"/>
  <c r="AE43" i="3"/>
  <c r="AD43" i="3"/>
  <c r="AG42" i="3"/>
  <c r="AF42" i="3"/>
  <c r="AE42" i="3"/>
  <c r="AD42" i="3"/>
  <c r="AC42" i="3"/>
  <c r="AF41" i="3"/>
  <c r="AE41" i="3"/>
  <c r="AD41" i="3"/>
  <c r="AC41" i="3"/>
  <c r="AB41" i="3"/>
  <c r="AE40" i="3"/>
  <c r="AD40" i="3"/>
  <c r="AC40" i="3"/>
  <c r="AB40" i="3"/>
  <c r="AA40" i="3"/>
  <c r="AD39" i="3"/>
  <c r="AC39" i="3"/>
  <c r="AB39" i="3"/>
  <c r="AA39" i="3"/>
  <c r="Z39" i="3"/>
  <c r="AC38" i="3"/>
  <c r="AB38" i="3"/>
  <c r="AA38" i="3"/>
  <c r="Z38" i="3"/>
  <c r="Y38" i="3"/>
  <c r="AB37" i="3"/>
  <c r="AA37" i="3"/>
  <c r="Z37" i="3"/>
  <c r="Y37" i="3"/>
  <c r="AA36" i="3"/>
  <c r="Z36" i="3"/>
  <c r="Y36" i="3"/>
  <c r="W36" i="3"/>
  <c r="AA35" i="3"/>
  <c r="Z35" i="3"/>
  <c r="Y35" i="3"/>
  <c r="W35" i="3"/>
  <c r="V35" i="3"/>
  <c r="AA34" i="3"/>
  <c r="Z34" i="3"/>
  <c r="Y34" i="3"/>
  <c r="W34" i="3"/>
  <c r="V34" i="3"/>
  <c r="U34" i="3"/>
  <c r="AA33" i="3"/>
  <c r="Z33" i="3"/>
  <c r="Y33" i="3"/>
  <c r="W33" i="3"/>
  <c r="V33" i="3"/>
  <c r="U33" i="3"/>
  <c r="T33" i="3"/>
  <c r="AA32" i="3"/>
  <c r="Z32" i="3"/>
  <c r="Y32" i="3"/>
  <c r="W32" i="3"/>
  <c r="V32" i="3"/>
  <c r="U32" i="3"/>
  <c r="T32" i="3"/>
  <c r="S32" i="3"/>
  <c r="AA31" i="3"/>
  <c r="Z31" i="3"/>
  <c r="Y31" i="3"/>
  <c r="W31" i="3"/>
  <c r="V31" i="3"/>
  <c r="U31" i="3"/>
  <c r="T31" i="3"/>
  <c r="S31" i="3"/>
  <c r="R31" i="3"/>
  <c r="AA30" i="3"/>
  <c r="Z30" i="3"/>
  <c r="Y30" i="3"/>
  <c r="W30" i="3"/>
  <c r="V30" i="3"/>
  <c r="U30" i="3"/>
  <c r="T30" i="3"/>
  <c r="S30" i="3"/>
  <c r="R30" i="3"/>
  <c r="AA29" i="3"/>
  <c r="Z29" i="3"/>
  <c r="Y29" i="3"/>
  <c r="W29" i="3"/>
  <c r="V29" i="3"/>
  <c r="U29" i="3"/>
  <c r="T29" i="3"/>
  <c r="S29" i="3"/>
  <c r="R29" i="3"/>
  <c r="AA28" i="3"/>
  <c r="Z28" i="3"/>
  <c r="Y28" i="3"/>
  <c r="W28" i="3"/>
  <c r="V28" i="3"/>
  <c r="U28" i="3"/>
  <c r="T28" i="3"/>
  <c r="S28" i="3"/>
  <c r="R28" i="3"/>
  <c r="AA27" i="3"/>
  <c r="Z27" i="3"/>
  <c r="Y27" i="3"/>
  <c r="W27" i="3"/>
  <c r="V27" i="3"/>
  <c r="U27" i="3"/>
  <c r="T27" i="3"/>
  <c r="S27" i="3"/>
  <c r="R27" i="3"/>
  <c r="Q27" i="3"/>
  <c r="Z26" i="3"/>
  <c r="Y26" i="3"/>
  <c r="W26" i="3"/>
  <c r="V26" i="3"/>
  <c r="U26" i="3"/>
  <c r="T26" i="3"/>
  <c r="S26" i="3"/>
  <c r="R26" i="3"/>
  <c r="Q26" i="3"/>
  <c r="P26" i="3"/>
  <c r="Y25" i="3"/>
  <c r="W25" i="3"/>
  <c r="V25" i="3"/>
  <c r="U25" i="3"/>
  <c r="T25" i="3"/>
  <c r="S25" i="3"/>
  <c r="R25" i="3"/>
  <c r="Q25" i="3"/>
  <c r="P25" i="3"/>
  <c r="O25" i="3"/>
  <c r="W24" i="3"/>
  <c r="V24" i="3"/>
  <c r="U24" i="3"/>
  <c r="T24" i="3"/>
  <c r="S24" i="3"/>
  <c r="R24" i="3"/>
  <c r="Q24" i="3"/>
  <c r="P24" i="3"/>
  <c r="O24" i="3"/>
  <c r="N24" i="3"/>
  <c r="W23" i="3"/>
  <c r="V23" i="3"/>
  <c r="U23" i="3"/>
  <c r="T23" i="3"/>
  <c r="S23" i="3"/>
  <c r="R23" i="3"/>
  <c r="Q23" i="3"/>
  <c r="P23" i="3"/>
  <c r="O23" i="3"/>
  <c r="N23" i="3"/>
  <c r="V22" i="3"/>
  <c r="U22" i="3"/>
  <c r="T22" i="3"/>
  <c r="S22" i="3"/>
  <c r="R22" i="3"/>
  <c r="Q22" i="3"/>
  <c r="P22" i="3"/>
  <c r="O22" i="3"/>
  <c r="N22" i="3"/>
  <c r="U21" i="3"/>
  <c r="T21" i="3"/>
  <c r="S21" i="3"/>
  <c r="R21" i="3"/>
  <c r="Q21" i="3"/>
  <c r="P21" i="3"/>
  <c r="O21" i="3"/>
  <c r="N21" i="3"/>
  <c r="T20" i="3"/>
  <c r="S20" i="3"/>
  <c r="R20" i="3"/>
  <c r="Q20" i="3"/>
  <c r="P20" i="3"/>
  <c r="O20" i="3"/>
  <c r="N20" i="3"/>
  <c r="S19" i="3"/>
  <c r="R19" i="3"/>
  <c r="Q19" i="3"/>
  <c r="P19" i="3"/>
  <c r="O19" i="3"/>
  <c r="N19" i="3"/>
  <c r="R18" i="3"/>
  <c r="Q18" i="3"/>
  <c r="P18" i="3"/>
  <c r="O18" i="3"/>
  <c r="N18" i="3"/>
  <c r="Q17" i="3"/>
  <c r="P17" i="3"/>
  <c r="O17" i="3"/>
  <c r="N17" i="3"/>
  <c r="P16" i="3"/>
  <c r="O16" i="3"/>
  <c r="N16" i="3"/>
  <c r="P15" i="3"/>
  <c r="O15" i="3"/>
  <c r="N15" i="3"/>
  <c r="P14" i="3"/>
  <c r="N14" i="3"/>
  <c r="P13" i="3"/>
  <c r="P12" i="3"/>
  <c r="P11" i="3"/>
  <c r="AR57" i="2"/>
  <c r="AR56" i="2"/>
  <c r="AQ56" i="2"/>
  <c r="AR55" i="2"/>
  <c r="AQ55" i="2"/>
  <c r="AP55" i="2"/>
  <c r="AR54" i="2"/>
  <c r="AQ54" i="2"/>
  <c r="AP54" i="2"/>
  <c r="AO54" i="2"/>
  <c r="AR53" i="2"/>
  <c r="AQ53" i="2"/>
  <c r="AP53" i="2"/>
  <c r="AO53" i="2"/>
  <c r="AN53" i="2"/>
  <c r="AQ52" i="2"/>
  <c r="AP52" i="2"/>
  <c r="AO52" i="2"/>
  <c r="AN52" i="2"/>
  <c r="AM52" i="2"/>
  <c r="AP51" i="2"/>
  <c r="AO51" i="2"/>
  <c r="AN51" i="2"/>
  <c r="AM51" i="2"/>
  <c r="AL51" i="2"/>
  <c r="AO50" i="2"/>
  <c r="AN50" i="2"/>
  <c r="AM50" i="2"/>
  <c r="AL50" i="2"/>
  <c r="AK50" i="2"/>
  <c r="AN49" i="2"/>
  <c r="AM49" i="2"/>
  <c r="AL49" i="2"/>
  <c r="AK49" i="2"/>
  <c r="AJ49" i="2"/>
  <c r="AM48" i="2"/>
  <c r="AL48" i="2"/>
  <c r="AK48" i="2"/>
  <c r="AJ48" i="2"/>
  <c r="AI48" i="2"/>
  <c r="AL47" i="2"/>
  <c r="AK47" i="2"/>
  <c r="AJ47" i="2"/>
  <c r="AI47" i="2"/>
  <c r="AH47" i="2"/>
  <c r="AK46" i="2"/>
  <c r="AJ46" i="2"/>
  <c r="AI46" i="2"/>
  <c r="AH46" i="2"/>
  <c r="AG46" i="2"/>
  <c r="AJ45" i="2"/>
  <c r="AI45" i="2"/>
  <c r="AH45" i="2"/>
  <c r="AG45" i="2"/>
  <c r="AF45" i="2"/>
  <c r="AI44" i="2"/>
  <c r="AH44" i="2"/>
  <c r="AG44" i="2"/>
  <c r="AF44" i="2"/>
  <c r="AH43" i="2"/>
  <c r="AG43" i="2"/>
  <c r="AF43" i="2"/>
  <c r="AG42" i="2"/>
  <c r="AF42" i="2"/>
  <c r="AF41" i="2"/>
  <c r="AA40" i="2"/>
  <c r="AA39" i="2"/>
  <c r="Z39" i="2"/>
  <c r="AA38" i="2"/>
  <c r="Z38" i="2"/>
  <c r="Y38" i="2"/>
  <c r="AA37" i="2"/>
  <c r="Z37" i="2"/>
  <c r="Y37" i="2"/>
  <c r="AA36" i="2"/>
  <c r="Z36" i="2"/>
  <c r="Y36" i="2"/>
  <c r="W36" i="2"/>
  <c r="AA35" i="2"/>
  <c r="Z35" i="2"/>
  <c r="Y35" i="2"/>
  <c r="W35" i="2"/>
  <c r="V35" i="2"/>
  <c r="AA34" i="2"/>
  <c r="Z34" i="2"/>
  <c r="Y34" i="2"/>
  <c r="W34" i="2"/>
  <c r="V34" i="2"/>
  <c r="U34" i="2"/>
  <c r="AA33" i="2"/>
  <c r="Z33" i="2"/>
  <c r="Y33" i="2"/>
  <c r="W33" i="2"/>
  <c r="V33" i="2"/>
  <c r="U33" i="2"/>
  <c r="T33" i="2"/>
  <c r="AA32" i="2"/>
  <c r="Z32" i="2"/>
  <c r="Y32" i="2"/>
  <c r="W32" i="2"/>
  <c r="V32" i="2"/>
  <c r="U32" i="2"/>
  <c r="T32" i="2"/>
  <c r="S32" i="2"/>
  <c r="AA31" i="2"/>
  <c r="Z31" i="2"/>
  <c r="Y31" i="2"/>
  <c r="W31" i="2"/>
  <c r="V31" i="2"/>
  <c r="U31" i="2"/>
  <c r="T31" i="2"/>
  <c r="S31" i="2"/>
  <c r="AA30" i="2"/>
  <c r="Z30" i="2"/>
  <c r="Y30" i="2"/>
  <c r="W30" i="2"/>
  <c r="V30" i="2"/>
  <c r="U30" i="2"/>
  <c r="T30" i="2"/>
  <c r="S30" i="2"/>
  <c r="AA29" i="2"/>
  <c r="Z29" i="2"/>
  <c r="Y29" i="2"/>
  <c r="W29" i="2"/>
  <c r="V29" i="2"/>
  <c r="U29" i="2"/>
  <c r="T29" i="2"/>
  <c r="S29" i="2"/>
  <c r="AA28" i="2"/>
  <c r="Z28" i="2"/>
  <c r="Y28" i="2"/>
  <c r="W28" i="2"/>
  <c r="V28" i="2"/>
  <c r="U28" i="2"/>
  <c r="T28" i="2"/>
  <c r="S28" i="2"/>
  <c r="R28" i="2"/>
  <c r="AA27" i="2"/>
  <c r="Z27" i="2"/>
  <c r="Y27" i="2"/>
  <c r="W27" i="2"/>
  <c r="V27" i="2"/>
  <c r="U27" i="2"/>
  <c r="T27" i="2"/>
  <c r="S27" i="2"/>
  <c r="R27" i="2"/>
  <c r="Z26" i="2"/>
  <c r="Y26" i="2"/>
  <c r="W26" i="2"/>
  <c r="V26" i="2"/>
  <c r="U26" i="2"/>
  <c r="T26" i="2"/>
  <c r="S26" i="2"/>
  <c r="R26" i="2"/>
  <c r="Y25" i="2"/>
  <c r="W25" i="2"/>
  <c r="V25" i="2"/>
  <c r="U25" i="2"/>
  <c r="T25" i="2"/>
  <c r="S25" i="2"/>
  <c r="R25" i="2"/>
  <c r="W24" i="2"/>
  <c r="V24" i="2"/>
  <c r="U24" i="2"/>
  <c r="T24" i="2"/>
  <c r="S24" i="2"/>
  <c r="R24" i="2"/>
  <c r="W23" i="2"/>
  <c r="V23" i="2"/>
  <c r="U23" i="2"/>
  <c r="T23" i="2"/>
  <c r="S23" i="2"/>
  <c r="R23" i="2"/>
  <c r="V22" i="2"/>
  <c r="U22" i="2"/>
  <c r="T22" i="2"/>
  <c r="S22" i="2"/>
  <c r="R22" i="2"/>
  <c r="U21" i="2"/>
  <c r="T21" i="2"/>
  <c r="S21" i="2"/>
  <c r="R21" i="2"/>
  <c r="T20" i="2"/>
  <c r="S20" i="2"/>
  <c r="R20" i="2"/>
  <c r="S19" i="2"/>
  <c r="R19" i="2"/>
  <c r="R18" i="2"/>
  <c r="AL51" i="1"/>
  <c r="AL50" i="1"/>
  <c r="AL49" i="1"/>
  <c r="AL48" i="1"/>
  <c r="AL47" i="1"/>
  <c r="AG43" i="1"/>
  <c r="L22" i="1"/>
  <c r="L21" i="1"/>
</calcChain>
</file>

<file path=xl/sharedStrings.xml><?xml version="1.0" encoding="utf-8"?>
<sst xmlns="http://schemas.openxmlformats.org/spreadsheetml/2006/main" count="346" uniqueCount="230">
  <si>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</si>
  <si>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</si>
  <si>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</si>
  <si>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</si>
  <si>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</si>
  <si>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</si>
  <si>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</si>
  <si>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</si>
  <si>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</si>
  <si>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</si>
  <si>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</si>
  <si>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</si>
  <si>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</si>
  <si>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</si>
  <si>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</si>
  <si>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</si>
  <si>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</si>
  <si>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</si>
  <si>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</si>
  <si>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</si>
  <si>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</si>
  <si>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</si>
  <si>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</si>
  <si>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</si>
  <si>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</si>
  <si>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</si>
  <si>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</si>
  <si>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</si>
  <si>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</si>
  <si>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</si>
  <si>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</si>
  <si>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</si>
  <si>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</si>
  <si>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</si>
  <si>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</si>
  <si>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</si>
  <si>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</si>
  <si>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</si>
  <si>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</si>
  <si>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</si>
  <si>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</si>
  <si>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</si>
  <si>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</si>
  <si>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</si>
  <si>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</si>
  <si>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</si>
  <si>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</si>
  <si>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</si>
  <si>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</si>
  <si>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</si>
  <si>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</si>
  <si>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</si>
  <si>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</si>
  <si>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</si>
  <si>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</si>
  <si>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GSEXP1973-74</t>
  </si>
  <si>
    <t>GSEXP1974-75</t>
  </si>
  <si>
    <t>GSEXP1975-76</t>
  </si>
  <si>
    <t>GSEXP1976-77</t>
  </si>
  <si>
    <t>GSEXP1977-78</t>
  </si>
  <si>
    <t>GSEXP1978-79</t>
  </si>
  <si>
    <t>GSEXP1979-80</t>
  </si>
  <si>
    <t>GSEXP1980-81</t>
  </si>
  <si>
    <t>GSEXP1981-82</t>
  </si>
  <si>
    <t>GSEXP1982-83</t>
  </si>
  <si>
    <t>GSEXP1983-84</t>
  </si>
  <si>
    <t>GSEXP1984-85</t>
  </si>
  <si>
    <t>GSEXP1985-86</t>
  </si>
  <si>
    <t>GSEXP1986-87</t>
  </si>
  <si>
    <t>GSEXP1987-88</t>
  </si>
  <si>
    <t>GSEXP1988-89</t>
  </si>
  <si>
    <t>GSEXP1989-90</t>
  </si>
  <si>
    <t>GSEXP1990-91</t>
  </si>
  <si>
    <t>GSEXP1991-92</t>
  </si>
  <si>
    <t>GSEXP1992-93</t>
  </si>
  <si>
    <t>GSEXP1993-94</t>
  </si>
  <si>
    <t>GSEXP1994-95</t>
  </si>
  <si>
    <t>GSEXP1995-96</t>
  </si>
  <si>
    <t>GSEXP1996-97</t>
  </si>
  <si>
    <t>GSEXP1997-98</t>
  </si>
  <si>
    <t>GSEXP1998-99</t>
  </si>
  <si>
    <t>GSEXP1999-00</t>
  </si>
  <si>
    <t>GSEXP2000-01</t>
  </si>
  <si>
    <t>GSEXP2001-02</t>
  </si>
  <si>
    <t>GSEXP2002-03</t>
  </si>
  <si>
    <t>GSEXP2003-04</t>
  </si>
  <si>
    <t>GSEXP2004-05</t>
  </si>
  <si>
    <t>GSEXP2005-06</t>
  </si>
  <si>
    <t>GSEXP2006-07</t>
  </si>
  <si>
    <t>GSEXP2007-08</t>
  </si>
  <si>
    <t>GSEXP2008-09</t>
  </si>
  <si>
    <t>GSEXP2009-10</t>
  </si>
  <si>
    <t>GSEXP2010-11</t>
  </si>
  <si>
    <t>GSEXP2011-12</t>
  </si>
  <si>
    <t>GSEXP2012-13</t>
  </si>
  <si>
    <t>GSEXP2013-14</t>
  </si>
  <si>
    <t>GSEXP2014-15</t>
  </si>
  <si>
    <t>GSEXP2015-16</t>
  </si>
  <si>
    <t>CAE1982-83</t>
  </si>
  <si>
    <t>CAE1983-84</t>
  </si>
  <si>
    <t>CAE1984-85</t>
  </si>
  <si>
    <t>CAE1985-86</t>
  </si>
  <si>
    <t>CAE1986-87</t>
  </si>
  <si>
    <t>CAE1987-88</t>
  </si>
  <si>
    <t>CAE1988-89</t>
  </si>
  <si>
    <t>CAE1989-90</t>
  </si>
  <si>
    <t>CAE1990-91</t>
  </si>
  <si>
    <t>CAE1991-92</t>
  </si>
  <si>
    <t>CAE1992-93</t>
  </si>
  <si>
    <t>CAE1993-94</t>
  </si>
  <si>
    <t>CAE1994-95</t>
  </si>
  <si>
    <t>CAE1995-96</t>
  </si>
  <si>
    <t>CAE1996-97</t>
  </si>
  <si>
    <t>CAE1997-98</t>
  </si>
  <si>
    <t>CAE1998-99</t>
  </si>
  <si>
    <t>CAE1999-00</t>
  </si>
  <si>
    <t>CAE2000-01</t>
  </si>
  <si>
    <t>CAE2001-02</t>
  </si>
  <si>
    <t>CAE2002-03</t>
  </si>
  <si>
    <t>CAE2003-04</t>
  </si>
  <si>
    <t>CAE2004-05</t>
  </si>
  <si>
    <t>CAE2005-06</t>
  </si>
  <si>
    <t>CAE2006-07</t>
  </si>
  <si>
    <t>CAE2007-08</t>
  </si>
  <si>
    <t>CAE2008-09</t>
  </si>
  <si>
    <t>CAE2009-10</t>
  </si>
  <si>
    <t>CAE2010-11</t>
  </si>
  <si>
    <t>CAE2011-12</t>
  </si>
  <si>
    <t>CAE2012-13</t>
  </si>
  <si>
    <t>CAE2013-14</t>
  </si>
  <si>
    <t>CAE2014-15</t>
  </si>
  <si>
    <t>CAE2015-16</t>
  </si>
  <si>
    <t>2018-19</t>
  </si>
  <si>
    <t>TPAY1973-74</t>
  </si>
  <si>
    <t>TPAY1974-75</t>
  </si>
  <si>
    <t>TPAY1975-76</t>
  </si>
  <si>
    <t>TPAY1976-77</t>
  </si>
  <si>
    <t>TPAY1977-78</t>
  </si>
  <si>
    <t>TPAY1978-79</t>
  </si>
  <si>
    <t>TPAY1979-80</t>
  </si>
  <si>
    <t>TPAY1980-81</t>
  </si>
  <si>
    <t>TPAY1981-82</t>
  </si>
  <si>
    <t>TPAY1982-83</t>
  </si>
  <si>
    <t>TPAY1983-84</t>
  </si>
  <si>
    <t>TPAY1984-85</t>
  </si>
  <si>
    <t>TPAY1985-86</t>
  </si>
  <si>
    <t>TPAY1986-87</t>
  </si>
  <si>
    <t>TPAY1987-88</t>
  </si>
  <si>
    <t>TPAY1988-89</t>
  </si>
  <si>
    <t>TPAY1989-90</t>
  </si>
  <si>
    <t>TPAY1990-91</t>
  </si>
  <si>
    <t>TPAY1991-92</t>
  </si>
  <si>
    <t>TPAY1992-93</t>
  </si>
  <si>
    <t>TPAY1993-94</t>
  </si>
  <si>
    <t>TPAY1994-95</t>
  </si>
  <si>
    <t>TPAY1995-96</t>
  </si>
  <si>
    <t>TPAY1996-97</t>
  </si>
  <si>
    <t>TPAY1997-98</t>
  </si>
  <si>
    <t>TPAY1998-99</t>
  </si>
  <si>
    <t>TPAY1999-00</t>
  </si>
  <si>
    <t>TPAY2000-01</t>
  </si>
  <si>
    <t>TPAY2001-02</t>
  </si>
  <si>
    <t>TPAY2002-03</t>
  </si>
  <si>
    <t>TPAY2003-04</t>
  </si>
  <si>
    <t>TPAY2004-05</t>
  </si>
  <si>
    <t>TPAY2005-06</t>
  </si>
  <si>
    <t>TPAY2006-07</t>
  </si>
  <si>
    <t>TPAY2007-08</t>
  </si>
  <si>
    <t>TPAY2008-09</t>
  </si>
  <si>
    <t>TPAY2009-10</t>
  </si>
  <si>
    <t>TPAY2010-11</t>
  </si>
  <si>
    <t>TPAY2011-12</t>
  </si>
  <si>
    <t>TPAY2012-13</t>
  </si>
  <si>
    <t>TPAY2013-14</t>
  </si>
  <si>
    <t>TPAY2014-15</t>
  </si>
  <si>
    <t>TPAY2015-16</t>
  </si>
  <si>
    <t>Definition</t>
  </si>
  <si>
    <t>Variables</t>
  </si>
  <si>
    <t>Vintage Date</t>
  </si>
  <si>
    <t>The vintage date refers to the fiscal year that the Budget is released for.</t>
  </si>
  <si>
    <t>Reference Date</t>
  </si>
  <si>
    <t>The reference date refers to the date to which the observation is referring to</t>
  </si>
  <si>
    <t>First Vintage</t>
  </si>
  <si>
    <t>Revisions</t>
  </si>
  <si>
    <t>Vintages</t>
  </si>
  <si>
    <t>Currency</t>
  </si>
  <si>
    <t>Scale</t>
  </si>
  <si>
    <t>Million</t>
  </si>
  <si>
    <t>Each Vintage</t>
  </si>
  <si>
    <t>Estimates</t>
  </si>
  <si>
    <t>Projections</t>
  </si>
  <si>
    <t>Budget year (t)</t>
  </si>
  <si>
    <t>Not available</t>
  </si>
  <si>
    <t>Units of Observation</t>
  </si>
  <si>
    <t>Australian Dollar</t>
  </si>
  <si>
    <t>1973-74 to 2015-16</t>
  </si>
  <si>
    <t>Special Notes</t>
  </si>
  <si>
    <t>EXPENDITURE by ECONOMIC CLASSIFICATION</t>
  </si>
  <si>
    <t>Goods and Services Expenditure</t>
  </si>
  <si>
    <t>Capital Expenditure</t>
  </si>
  <si>
    <t>Transfer Payments</t>
  </si>
  <si>
    <t>This measure refers to current spending on goods and services in the Budget sector (General Government sector from 1999-00 onwards). It is the net expenditure on goods and service which covers direct purchases of domestic output and imports, and includes wages and salaries of government employees and pay and allowances of defence forces. From the budget definition, any recoupments of such expenditures from other sectors are netted off. Capital expenditures are shown separately. In accordance with national accounting conventions, all equipment purchased for defence purposes are classified as current expenditure. From 1999-00 onwards, this measure refers to the Payment for goods and services item found in the (GFS) Budget operating statement for the general government sector.</t>
  </si>
  <si>
    <t>GSEXPyy-yy</t>
  </si>
  <si>
    <t>CAPEXP1973-74</t>
  </si>
  <si>
    <t>CAPEXP1974-75</t>
  </si>
  <si>
    <t>CAPEXP1975-76</t>
  </si>
  <si>
    <t>CAPEXP1976-77</t>
  </si>
  <si>
    <t>CAPEXP1977-78</t>
  </si>
  <si>
    <t>CAPEXP1978-79</t>
  </si>
  <si>
    <t>CAPEXP1979-80</t>
  </si>
  <si>
    <t>CAPEXP1980-81</t>
  </si>
  <si>
    <t>CAPEXP1981-82</t>
  </si>
  <si>
    <t>CAPEXPyy-yy</t>
  </si>
  <si>
    <t>TPAYyy-yy</t>
  </si>
  <si>
    <t>Capital expenditures make up part of total outlays of the budget. It consists of fixed capital expenditure on new assets plus increase in stocks (less sales of previously rented houses). After the switch to the accrual accounting system in 1999-00, this measure refers to the gross fixed capital formation item found in the (GFS) Budget operating statement for the general government sector.</t>
  </si>
  <si>
    <t>Transfer payments refer to current payments to other parts of the economy or overseas, other than payments for goods and services supplied, but including purchase of existing assets. Current and capital transfers are included in this measure. Net advances are excluded but forms the difference between Total Outlays and Total Expenditure. Excluding net advances keeps the definition consistent across vintages. Net advances refer to the loans, advances and additional capital made available by the Australian Government. Repayments of loans and advances are deducted to arrive at the net advances figure.</t>
  </si>
  <si>
    <t>MYEFO and FBO updates are available from 1999-00 onwards but are not collected.</t>
  </si>
  <si>
    <t>3 years ahead (t+1, t+2, t+3)</t>
  </si>
  <si>
    <t>Previous year (t-1), Budget year (t), Year ahead (t+1)</t>
  </si>
  <si>
    <t>2 years ahead (t+2), 3 years ahead (t+3)</t>
  </si>
  <si>
    <t>1989-90 to 2008-09</t>
  </si>
  <si>
    <t>2009-10 to 2015-16</t>
  </si>
  <si>
    <t>1973-74 to 1988-89</t>
  </si>
  <si>
    <t>GSEXP99-00 onwards - Payment for goods and services used as proxy for the previous cash measure</t>
  </si>
  <si>
    <t>CAPEXP99-00 onwards - Gross fixed capital formation used as proxy for the previous cash measure</t>
  </si>
  <si>
    <t>TPAY99-00 onwards - Total current and capital transfers used as proxy for the previous cash measure</t>
  </si>
  <si>
    <t>This measure is made up of all current spending on goods and services for both the defence and non-defence departments. From 1999-00 onwards, this measure is proxied by "Payments for goods and services" in the GFS cash flow statement.</t>
  </si>
  <si>
    <t>While capital expenditures make up this variable prior to 1999-00, "Gross fixed capital formation" and eventually "Purchase of non-financial assets less sales of non-financial assets" items make up this variable from 1999-00 onwards.</t>
  </si>
  <si>
    <t>From 1999-00 onwards, the switch to accrual accounting meant that transfer payments had to be proxied by an equivalent measure. This was found in the GFS cash flow statement and is made up of the total current transfers (grant expenses, subsidy expenses, personal benefit payments in cash, other current transfers) and capital transfer items. Prior to 1999-00, this measure is made up of cash benefits to persons, unfunded employee retirement benefits, grants to or for the states and local government authorities, grants to the Northern Territory, interest paid, transfer overseas, subsidies, grants for private capital purposes, and purchases of existing assets.</t>
  </si>
  <si>
    <t>Total Outlays is made up of four economic concepts, Spending on Goods and Expenditure, Capital Expenditure, Transfer Payments, and interest payments on debt is included in the latter. The following variables were collected in order to better understand the real-time changes in each of these economic variables as it relates to changes in Total Outlays. The difference between Total Outlays and Total Expenditure is made up by Net Advances, which was not collected.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</si>
</sst>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Verdana"/>
      <family val="2"/>
    </font>
    <font>
      <b/>
      <sz val="48"/>
      <color theme="1"/>
      <name val="Times New Roman"/>
      <family val="1"/>
    </font>
    <font>
      <sz val="11"/>
      <color theme="1"/>
      <name val="Times New Roman"/>
      <family val="1"/>
    </font>
    <font>
      <b/>
      <sz val="14"/>
      <color theme="1"/>
      <name val="Times New Roman"/>
      <family val="1"/>
    </font>
    <font>
      <sz val="12"/>
      <color theme="1"/>
      <name val="Times New Roman"/>
      <family val="1"/>
    </font>
    <font>
      <i/>
      <sz val="12"/>
      <color theme="1"/>
      <name val="Times New Roman"/>
      <family val="1"/>
    </font>
    <font>
      <sz val="11"/>
      <name val="Calibri"/>
      <family val="2"/>
      <scheme val="minor"/>
    </font>
  </fonts>
  <fills count="3">
    <fill>
      <patternFill patternType="none"/>
    </fill>
    <fill>
      <patternFill patternType="gray125"/>
    </fill>
    <fill>
      <patternFill patternType="solid">
        <fgColor rgb="FFA6A6A6"/>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3">
    <xf numFmtId="0" fontId="0" fillId="0" borderId="0" xfId="0"/>
    <xf numFmtId="0" fontId="0" fillId="0" borderId="0" xfId="0" applyFont="1"/>
    <xf numFmtId="0" fontId="2" fillId="0" borderId="0" xfId="0" applyFont="1"/>
    <xf numFmtId="0" fontId="3" fillId="0" borderId="0" xfId="0" applyFont="1"/>
    <xf numFmtId="0" fontId="4" fillId="0" borderId="0" xfId="0" applyFont="1" applyAlignment="1">
      <alignment vertical="top"/>
    </xf>
    <xf numFmtId="0" fontId="5" fillId="0" borderId="0" xfId="0" applyFont="1" applyAlignment="1">
      <alignment horizontal="justify" vertical="center"/>
    </xf>
    <xf numFmtId="0" fontId="5" fillId="0" borderId="0" xfId="0" applyFont="1"/>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6" fillId="0" borderId="0" xfId="0" applyFont="1" applyAlignment="1">
      <alignment horizontal="right" vertical="top"/>
    </xf>
    <xf numFmtId="0" fontId="7" fillId="0" borderId="0" xfId="0"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opLeftCell="A22" workbookViewId="0"/>
  </sheetViews>
  <sheetFormatPr defaultRowHeight="15" x14ac:dyDescent="0.25"/>
  <cols>
    <col min="1" max="1" width="9.140625" style="3"/>
    <col min="2" max="2" width="32.5703125" style="3" bestFit="1" customWidth="1"/>
    <col min="3" max="3" width="87.28515625" style="3" bestFit="1" customWidth="1"/>
    <col min="4" max="4" width="46" style="3" customWidth="1"/>
    <col min="5" max="5" width="39.85546875" style="3" customWidth="1"/>
    <col min="6" max="16384" width="9.140625" style="3"/>
  </cols>
  <sheetData>
    <row r="1" spans="1:3" ht="60.75" x14ac:dyDescent="0.8">
      <c r="A1" s="2" t="s">
        <v>197</v>
      </c>
    </row>
    <row r="3" spans="1:3" ht="78.75" x14ac:dyDescent="0.25">
      <c r="B3" s="4" t="s">
        <v>176</v>
      </c>
      <c r="C3" s="5" t="s">
        <v>229</v>
      </c>
    </row>
    <row r="4" spans="1:3" ht="141.75" x14ac:dyDescent="0.25">
      <c r="B4" s="11" t="s">
        <v>198</v>
      </c>
      <c r="C4" s="5" t="s">
        <v>201</v>
      </c>
    </row>
    <row r="5" spans="1:3" ht="67.5" customHeight="1" x14ac:dyDescent="0.25">
      <c r="B5" s="11" t="s">
        <v>199</v>
      </c>
      <c r="C5" s="5" t="s">
        <v>214</v>
      </c>
    </row>
    <row r="6" spans="1:3" ht="110.25" x14ac:dyDescent="0.25">
      <c r="B6" s="11" t="s">
        <v>200</v>
      </c>
      <c r="C6" s="5" t="s">
        <v>215</v>
      </c>
    </row>
    <row r="7" spans="1:3" ht="18.75" x14ac:dyDescent="0.25">
      <c r="B7" s="4" t="s">
        <v>177</v>
      </c>
    </row>
    <row r="8" spans="1:3" ht="47.25" x14ac:dyDescent="0.25">
      <c r="B8" s="11" t="s">
        <v>198</v>
      </c>
      <c r="C8" s="5" t="s">
        <v>226</v>
      </c>
    </row>
    <row r="9" spans="1:3" ht="47.25" x14ac:dyDescent="0.25">
      <c r="B9" s="11" t="s">
        <v>199</v>
      </c>
      <c r="C9" s="5" t="s">
        <v>227</v>
      </c>
    </row>
    <row r="10" spans="1:3" ht="110.25" x14ac:dyDescent="0.25">
      <c r="B10" s="11" t="s">
        <v>200</v>
      </c>
      <c r="C10" s="5" t="s">
        <v>228</v>
      </c>
    </row>
    <row r="11" spans="1:3" ht="18.75" x14ac:dyDescent="0.25">
      <c r="B11" s="4"/>
      <c r="C11" s="5" t="s">
        <v>202</v>
      </c>
    </row>
    <row r="12" spans="1:3" ht="18.75" x14ac:dyDescent="0.25">
      <c r="B12" s="4"/>
      <c r="C12" s="5" t="s">
        <v>212</v>
      </c>
    </row>
    <row r="13" spans="1:3" ht="18.75" x14ac:dyDescent="0.25">
      <c r="B13" s="4"/>
      <c r="C13" s="5" t="s">
        <v>213</v>
      </c>
    </row>
    <row r="14" spans="1:3" ht="18.75" x14ac:dyDescent="0.25">
      <c r="B14" s="4" t="s">
        <v>178</v>
      </c>
      <c r="C14" s="6" t="s">
        <v>179</v>
      </c>
    </row>
    <row r="15" spans="1:3" ht="18.75" x14ac:dyDescent="0.25">
      <c r="B15" s="4" t="s">
        <v>180</v>
      </c>
      <c r="C15" s="6" t="s">
        <v>181</v>
      </c>
    </row>
    <row r="16" spans="1:3" ht="18.75" x14ac:dyDescent="0.25">
      <c r="B16" s="4" t="s">
        <v>182</v>
      </c>
      <c r="C16" s="6" t="s">
        <v>10</v>
      </c>
    </row>
    <row r="17" spans="2:4" ht="18.75" x14ac:dyDescent="0.25">
      <c r="B17" s="4" t="s">
        <v>183</v>
      </c>
      <c r="C17" s="5" t="s">
        <v>216</v>
      </c>
    </row>
    <row r="19" spans="2:4" ht="19.5" thickBot="1" x14ac:dyDescent="0.3">
      <c r="B19" s="4" t="s">
        <v>188</v>
      </c>
    </row>
    <row r="20" spans="2:4" ht="16.5" thickBot="1" x14ac:dyDescent="0.3">
      <c r="B20" s="7" t="s">
        <v>184</v>
      </c>
      <c r="C20" s="8" t="s">
        <v>189</v>
      </c>
      <c r="D20" s="8" t="s">
        <v>190</v>
      </c>
    </row>
    <row r="21" spans="2:4" ht="16.5" thickBot="1" x14ac:dyDescent="0.3">
      <c r="B21" s="9" t="s">
        <v>222</v>
      </c>
      <c r="C21" s="10" t="s">
        <v>191</v>
      </c>
      <c r="D21" s="10" t="s">
        <v>192</v>
      </c>
    </row>
    <row r="22" spans="2:4" ht="16.5" thickBot="1" x14ac:dyDescent="0.3">
      <c r="B22" s="9" t="s">
        <v>220</v>
      </c>
      <c r="C22" s="10" t="s">
        <v>191</v>
      </c>
      <c r="D22" s="10" t="s">
        <v>217</v>
      </c>
    </row>
    <row r="23" spans="2:4" ht="16.5" thickBot="1" x14ac:dyDescent="0.3">
      <c r="B23" s="9" t="s">
        <v>221</v>
      </c>
      <c r="C23" s="10" t="s">
        <v>218</v>
      </c>
      <c r="D23" s="10" t="s">
        <v>219</v>
      </c>
    </row>
    <row r="25" spans="2:4" ht="19.5" thickBot="1" x14ac:dyDescent="0.3">
      <c r="B25" s="4" t="s">
        <v>193</v>
      </c>
    </row>
    <row r="26" spans="2:4" ht="16.5" thickBot="1" x14ac:dyDescent="0.3">
      <c r="B26" s="7" t="s">
        <v>184</v>
      </c>
      <c r="C26" s="8" t="s">
        <v>185</v>
      </c>
      <c r="D26" s="8" t="s">
        <v>186</v>
      </c>
    </row>
    <row r="27" spans="2:4" ht="16.5" thickBot="1" x14ac:dyDescent="0.3">
      <c r="B27" s="9" t="s">
        <v>195</v>
      </c>
      <c r="C27" s="10" t="s">
        <v>194</v>
      </c>
      <c r="D27" s="10" t="s">
        <v>187</v>
      </c>
    </row>
    <row r="30" spans="2:4" ht="18.75" x14ac:dyDescent="0.25">
      <c r="B30" s="4" t="s">
        <v>196</v>
      </c>
    </row>
    <row r="31" spans="2:4" x14ac:dyDescent="0.25">
      <c r="C31" s="3" t="s">
        <v>223</v>
      </c>
    </row>
    <row r="32" spans="2:4" x14ac:dyDescent="0.25">
      <c r="C32" s="3" t="s">
        <v>224</v>
      </c>
    </row>
    <row r="33" spans="3:3" x14ac:dyDescent="0.25">
      <c r="C33" s="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6"/>
  <sheetViews>
    <sheetView tabSelected="1" workbookViewId="0">
      <pane xSplit="1" ySplit="1" topLeftCell="N2" activePane="bottomRight" state="frozen"/>
      <selection pane="topRight" activeCell="B1" sqref="B1"/>
      <selection pane="bottomLeft" activeCell="A2" sqref="A2"/>
      <selection pane="bottomRight" activeCell="AF41" sqref="AF41"/>
    </sheetView>
  </sheetViews>
  <sheetFormatPr defaultRowHeight="15" x14ac:dyDescent="0.25"/>
  <cols>
    <col min="1" max="1" width="7.7109375" bestFit="1" customWidth="1"/>
    <col min="2" max="23" width="11.140625" bestFit="1" customWidth="1"/>
    <col min="24" max="24" width="11.140625" style="12" bestFit="1" customWidth="1"/>
    <col min="25" max="44" width="11.140625" bestFit="1" customWidth="1"/>
  </cols>
  <sheetData>
    <row r="1" spans="1:44" x14ac:dyDescent="0.25">
      <c r="B1" t="s">
        <v>55</v>
      </c>
      <c r="C1" t="s">
        <v>56</v>
      </c>
      <c r="D1" t="s">
        <v>57</v>
      </c>
      <c r="E1" t="s">
        <v>58</v>
      </c>
      <c r="F1" t="s">
        <v>59</v>
      </c>
      <c r="G1" t="s">
        <v>60</v>
      </c>
      <c r="H1" t="s">
        <v>61</v>
      </c>
      <c r="I1" t="s">
        <v>62</v>
      </c>
      <c r="J1" t="s">
        <v>63</v>
      </c>
      <c r="K1" t="s">
        <v>64</v>
      </c>
      <c r="L1" t="s">
        <v>65</v>
      </c>
      <c r="M1" t="s">
        <v>66</v>
      </c>
      <c r="N1" t="s">
        <v>67</v>
      </c>
      <c r="O1" t="s">
        <v>68</v>
      </c>
      <c r="P1" t="s">
        <v>69</v>
      </c>
      <c r="Q1" t="s">
        <v>70</v>
      </c>
      <c r="R1" t="s">
        <v>71</v>
      </c>
      <c r="S1" t="s">
        <v>72</v>
      </c>
      <c r="T1" t="s">
        <v>73</v>
      </c>
      <c r="U1" t="s">
        <v>74</v>
      </c>
      <c r="V1" t="s">
        <v>75</v>
      </c>
      <c r="W1" t="s">
        <v>76</v>
      </c>
      <c r="X1" s="12" t="s">
        <v>77</v>
      </c>
      <c r="Y1" t="s">
        <v>78</v>
      </c>
      <c r="Z1" t="s">
        <v>79</v>
      </c>
      <c r="AA1" t="s">
        <v>80</v>
      </c>
      <c r="AB1" t="s">
        <v>81</v>
      </c>
      <c r="AC1" t="s">
        <v>82</v>
      </c>
      <c r="AD1" t="s">
        <v>83</v>
      </c>
      <c r="AE1" t="s">
        <v>84</v>
      </c>
      <c r="AF1" t="s">
        <v>85</v>
      </c>
      <c r="AG1" t="s">
        <v>86</v>
      </c>
      <c r="AH1" t="s">
        <v>87</v>
      </c>
      <c r="AI1" t="s">
        <v>88</v>
      </c>
      <c r="AJ1" t="s">
        <v>89</v>
      </c>
      <c r="AK1" t="s">
        <v>90</v>
      </c>
      <c r="AL1" t="s">
        <v>91</v>
      </c>
      <c r="AM1" t="s">
        <v>92</v>
      </c>
      <c r="AN1" t="s">
        <v>93</v>
      </c>
      <c r="AO1" t="s">
        <v>94</v>
      </c>
      <c r="AP1" t="s">
        <v>95</v>
      </c>
      <c r="AQ1" t="s">
        <v>96</v>
      </c>
      <c r="AR1" t="s">
        <v>97</v>
      </c>
    </row>
    <row r="2" spans="1:44" x14ac:dyDescent="0.25">
      <c r="A2" t="s">
        <v>0</v>
      </c>
      <c r="B2">
        <v>857</v>
      </c>
    </row>
    <row r="3" spans="1:44" x14ac:dyDescent="0.25">
      <c r="A3" t="s">
        <v>1</v>
      </c>
      <c r="B3">
        <v>999</v>
      </c>
      <c r="C3">
        <v>998</v>
      </c>
    </row>
    <row r="4" spans="1:44" x14ac:dyDescent="0.25">
      <c r="A4" t="s">
        <v>2</v>
      </c>
      <c r="B4">
        <v>1171</v>
      </c>
      <c r="C4">
        <v>1169</v>
      </c>
      <c r="D4">
        <v>1138</v>
      </c>
    </row>
    <row r="5" spans="1:44" x14ac:dyDescent="0.25">
      <c r="A5" t="s">
        <v>3</v>
      </c>
      <c r="B5">
        <v>1432</v>
      </c>
      <c r="C5">
        <v>1429</v>
      </c>
      <c r="D5">
        <v>1396</v>
      </c>
      <c r="E5">
        <v>1411</v>
      </c>
    </row>
    <row r="6" spans="1:44" x14ac:dyDescent="0.25">
      <c r="A6" t="s">
        <v>4</v>
      </c>
      <c r="B6">
        <v>1662</v>
      </c>
      <c r="C6">
        <v>1661</v>
      </c>
      <c r="D6">
        <v>1627</v>
      </c>
      <c r="E6">
        <v>1640</v>
      </c>
      <c r="F6">
        <v>1639</v>
      </c>
    </row>
    <row r="7" spans="1:44" x14ac:dyDescent="0.25">
      <c r="A7" t="s">
        <v>5</v>
      </c>
      <c r="B7">
        <v>1784</v>
      </c>
      <c r="C7">
        <v>1782</v>
      </c>
      <c r="D7">
        <v>1745</v>
      </c>
      <c r="E7">
        <v>1753</v>
      </c>
      <c r="F7">
        <v>1752</v>
      </c>
      <c r="G7">
        <v>1752</v>
      </c>
    </row>
    <row r="8" spans="1:44" x14ac:dyDescent="0.25">
      <c r="A8" t="s">
        <v>6</v>
      </c>
      <c r="B8">
        <v>1813</v>
      </c>
      <c r="C8">
        <v>1810</v>
      </c>
      <c r="D8">
        <v>1774</v>
      </c>
      <c r="E8">
        <v>1790</v>
      </c>
      <c r="F8">
        <v>1788</v>
      </c>
      <c r="G8">
        <v>1788</v>
      </c>
      <c r="H8">
        <v>1788</v>
      </c>
    </row>
    <row r="9" spans="1:44" x14ac:dyDescent="0.25">
      <c r="A9" t="s">
        <v>7</v>
      </c>
      <c r="B9">
        <v>1981</v>
      </c>
      <c r="C9">
        <v>1977</v>
      </c>
      <c r="D9">
        <v>1947</v>
      </c>
      <c r="E9">
        <v>1960</v>
      </c>
      <c r="F9">
        <v>1958</v>
      </c>
      <c r="G9">
        <v>1958</v>
      </c>
      <c r="H9">
        <v>1958</v>
      </c>
      <c r="I9">
        <v>1958</v>
      </c>
    </row>
    <row r="10" spans="1:44" x14ac:dyDescent="0.25">
      <c r="A10" t="s">
        <v>8</v>
      </c>
      <c r="B10">
        <v>2186</v>
      </c>
      <c r="C10">
        <v>2180</v>
      </c>
      <c r="D10">
        <v>2148</v>
      </c>
      <c r="E10">
        <v>2160</v>
      </c>
      <c r="F10">
        <v>2156</v>
      </c>
      <c r="G10">
        <v>2156</v>
      </c>
      <c r="H10">
        <v>2156</v>
      </c>
      <c r="I10">
        <v>2156</v>
      </c>
      <c r="J10">
        <v>2156</v>
      </c>
    </row>
    <row r="11" spans="1:44" x14ac:dyDescent="0.25">
      <c r="A11" t="s">
        <v>9</v>
      </c>
      <c r="B11">
        <v>2386</v>
      </c>
      <c r="C11">
        <v>2377</v>
      </c>
      <c r="D11">
        <v>2337</v>
      </c>
      <c r="E11">
        <v>2349</v>
      </c>
      <c r="F11">
        <v>2344</v>
      </c>
      <c r="G11">
        <v>2344</v>
      </c>
      <c r="H11">
        <v>2344</v>
      </c>
      <c r="I11">
        <v>2344</v>
      </c>
      <c r="J11">
        <v>2344</v>
      </c>
      <c r="K11">
        <v>2345</v>
      </c>
      <c r="P11">
        <v>2109</v>
      </c>
    </row>
    <row r="12" spans="1:44" x14ac:dyDescent="0.25">
      <c r="A12" t="s">
        <v>10</v>
      </c>
      <c r="B12">
        <v>2645</v>
      </c>
      <c r="C12">
        <v>2767</v>
      </c>
      <c r="D12">
        <v>2697</v>
      </c>
      <c r="E12">
        <v>2715</v>
      </c>
      <c r="F12">
        <v>2709</v>
      </c>
      <c r="G12">
        <v>2712</v>
      </c>
      <c r="H12">
        <v>2712</v>
      </c>
      <c r="I12">
        <v>2712</v>
      </c>
      <c r="J12">
        <v>2712</v>
      </c>
      <c r="K12">
        <v>2713</v>
      </c>
      <c r="L12">
        <v>2698</v>
      </c>
      <c r="P12">
        <v>2428</v>
      </c>
    </row>
    <row r="13" spans="1:44" x14ac:dyDescent="0.25">
      <c r="A13" t="s">
        <v>11</v>
      </c>
      <c r="C13">
        <v>3480</v>
      </c>
      <c r="D13">
        <v>3476</v>
      </c>
      <c r="E13">
        <v>3488</v>
      </c>
      <c r="F13">
        <v>3469</v>
      </c>
      <c r="G13">
        <v>3474</v>
      </c>
      <c r="H13">
        <v>3474</v>
      </c>
      <c r="I13">
        <v>3474</v>
      </c>
      <c r="J13">
        <v>3474</v>
      </c>
      <c r="K13">
        <v>3474</v>
      </c>
      <c r="L13">
        <v>3467</v>
      </c>
      <c r="M13">
        <v>3483</v>
      </c>
      <c r="P13">
        <v>3083</v>
      </c>
    </row>
    <row r="14" spans="1:44" x14ac:dyDescent="0.25">
      <c r="A14" t="s">
        <v>12</v>
      </c>
      <c r="D14">
        <v>4230</v>
      </c>
      <c r="E14">
        <v>4062</v>
      </c>
      <c r="F14">
        <v>4058</v>
      </c>
      <c r="G14">
        <v>4057</v>
      </c>
      <c r="H14">
        <v>4058</v>
      </c>
      <c r="I14">
        <v>4058</v>
      </c>
      <c r="J14">
        <v>4058</v>
      </c>
      <c r="K14">
        <v>4057</v>
      </c>
      <c r="L14">
        <v>4062</v>
      </c>
      <c r="M14">
        <v>4069</v>
      </c>
      <c r="N14">
        <v>3539</v>
      </c>
      <c r="P14">
        <v>3597</v>
      </c>
    </row>
    <row r="15" spans="1:44" x14ac:dyDescent="0.25">
      <c r="A15" t="s">
        <v>13</v>
      </c>
      <c r="E15">
        <v>4690</v>
      </c>
      <c r="F15">
        <v>4646</v>
      </c>
      <c r="G15">
        <v>4631</v>
      </c>
      <c r="H15">
        <v>4635</v>
      </c>
      <c r="I15">
        <v>4635</v>
      </c>
      <c r="J15">
        <v>4635</v>
      </c>
      <c r="K15">
        <v>4627</v>
      </c>
      <c r="L15">
        <v>4624</v>
      </c>
      <c r="M15">
        <v>4638</v>
      </c>
      <c r="N15">
        <v>4129</v>
      </c>
      <c r="O15">
        <v>4083</v>
      </c>
      <c r="P15">
        <v>4061</v>
      </c>
    </row>
    <row r="16" spans="1:44" x14ac:dyDescent="0.25">
      <c r="A16" t="s">
        <v>14</v>
      </c>
      <c r="F16">
        <v>5205</v>
      </c>
      <c r="G16">
        <v>5167</v>
      </c>
      <c r="H16">
        <v>5177</v>
      </c>
      <c r="I16">
        <v>5177</v>
      </c>
      <c r="J16">
        <v>5177</v>
      </c>
      <c r="K16">
        <v>5125</v>
      </c>
      <c r="L16">
        <v>5112</v>
      </c>
      <c r="M16">
        <v>5139</v>
      </c>
      <c r="N16">
        <v>4645</v>
      </c>
      <c r="O16">
        <v>4635</v>
      </c>
      <c r="P16">
        <v>4593</v>
      </c>
    </row>
    <row r="17" spans="1:27" x14ac:dyDescent="0.25">
      <c r="A17" t="s">
        <v>15</v>
      </c>
      <c r="G17">
        <v>5548</v>
      </c>
      <c r="H17">
        <v>5630</v>
      </c>
      <c r="I17">
        <v>5628</v>
      </c>
      <c r="J17">
        <v>5628</v>
      </c>
      <c r="K17">
        <v>5546</v>
      </c>
      <c r="L17">
        <v>5542</v>
      </c>
      <c r="M17">
        <v>5562</v>
      </c>
      <c r="N17">
        <v>5063</v>
      </c>
      <c r="O17">
        <v>4889</v>
      </c>
      <c r="P17">
        <v>4946</v>
      </c>
      <c r="Q17">
        <v>5710</v>
      </c>
    </row>
    <row r="18" spans="1:27" x14ac:dyDescent="0.25">
      <c r="A18" t="s">
        <v>16</v>
      </c>
      <c r="H18">
        <v>6077</v>
      </c>
      <c r="I18">
        <v>6161</v>
      </c>
      <c r="J18">
        <v>6132</v>
      </c>
      <c r="K18">
        <v>6128</v>
      </c>
      <c r="L18">
        <v>6143</v>
      </c>
      <c r="M18">
        <v>6132</v>
      </c>
      <c r="N18">
        <v>5527</v>
      </c>
      <c r="O18">
        <v>5510</v>
      </c>
      <c r="P18">
        <v>5460</v>
      </c>
      <c r="Q18">
        <v>6210</v>
      </c>
      <c r="R18">
        <v>5433</v>
      </c>
    </row>
    <row r="19" spans="1:27" x14ac:dyDescent="0.25">
      <c r="A19" t="s">
        <v>17</v>
      </c>
      <c r="I19">
        <v>7262</v>
      </c>
      <c r="J19">
        <v>7251</v>
      </c>
      <c r="K19">
        <v>7253</v>
      </c>
      <c r="L19">
        <v>7258</v>
      </c>
      <c r="M19">
        <v>7262</v>
      </c>
      <c r="N19">
        <v>6504</v>
      </c>
      <c r="O19">
        <v>6411</v>
      </c>
      <c r="P19">
        <v>6363</v>
      </c>
      <c r="Q19">
        <v>7349</v>
      </c>
      <c r="R19">
        <v>6372</v>
      </c>
      <c r="S19">
        <v>6338</v>
      </c>
    </row>
    <row r="20" spans="1:27" x14ac:dyDescent="0.25">
      <c r="A20" t="s">
        <v>18</v>
      </c>
      <c r="J20">
        <v>8375</v>
      </c>
      <c r="K20">
        <v>8509</v>
      </c>
      <c r="L20">
        <v>8576</v>
      </c>
      <c r="M20">
        <v>8528</v>
      </c>
      <c r="N20">
        <v>7616</v>
      </c>
      <c r="O20">
        <v>7548</v>
      </c>
      <c r="P20">
        <v>7489</v>
      </c>
      <c r="Q20">
        <v>8566</v>
      </c>
      <c r="R20">
        <v>7452</v>
      </c>
      <c r="S20">
        <v>7413</v>
      </c>
      <c r="T20">
        <v>7415</v>
      </c>
    </row>
    <row r="21" spans="1:27" x14ac:dyDescent="0.25">
      <c r="A21" t="s">
        <v>19</v>
      </c>
      <c r="K21">
        <v>9524</v>
      </c>
      <c r="L21">
        <f>10441-605</f>
        <v>9836</v>
      </c>
      <c r="M21">
        <v>9791</v>
      </c>
      <c r="N21">
        <v>8659</v>
      </c>
      <c r="O21">
        <v>8567</v>
      </c>
      <c r="P21">
        <v>8556</v>
      </c>
      <c r="Q21">
        <v>9891</v>
      </c>
      <c r="R21">
        <v>8541</v>
      </c>
      <c r="S21">
        <v>8505</v>
      </c>
      <c r="T21">
        <v>8507</v>
      </c>
      <c r="U21">
        <v>8520</v>
      </c>
    </row>
    <row r="22" spans="1:27" x14ac:dyDescent="0.25">
      <c r="A22" t="s">
        <v>20</v>
      </c>
      <c r="L22">
        <f>12023-677</f>
        <v>11346</v>
      </c>
      <c r="M22">
        <v>11334</v>
      </c>
      <c r="N22">
        <v>10058</v>
      </c>
      <c r="O22">
        <v>9964</v>
      </c>
      <c r="P22">
        <v>9955</v>
      </c>
      <c r="Q22">
        <v>11426</v>
      </c>
      <c r="R22">
        <v>9885</v>
      </c>
      <c r="S22">
        <v>9850</v>
      </c>
      <c r="T22">
        <v>9852</v>
      </c>
      <c r="U22">
        <v>9866</v>
      </c>
      <c r="V22">
        <v>9869</v>
      </c>
    </row>
    <row r="23" spans="1:27" x14ac:dyDescent="0.25">
      <c r="A23" t="s">
        <v>21</v>
      </c>
      <c r="M23">
        <v>12786</v>
      </c>
      <c r="N23">
        <v>11348</v>
      </c>
      <c r="O23">
        <v>11201</v>
      </c>
      <c r="P23">
        <v>11205</v>
      </c>
      <c r="Q23">
        <v>12931</v>
      </c>
      <c r="R23">
        <v>11160</v>
      </c>
      <c r="S23">
        <v>11120</v>
      </c>
      <c r="T23">
        <v>11120</v>
      </c>
      <c r="U23">
        <v>11137</v>
      </c>
      <c r="V23">
        <v>11152</v>
      </c>
      <c r="W23">
        <v>11167</v>
      </c>
    </row>
    <row r="24" spans="1:27" x14ac:dyDescent="0.25">
      <c r="A24" t="s">
        <v>22</v>
      </c>
      <c r="N24">
        <v>12680</v>
      </c>
      <c r="O24">
        <v>12634</v>
      </c>
      <c r="P24">
        <v>12669</v>
      </c>
      <c r="Q24">
        <v>14561</v>
      </c>
      <c r="R24">
        <v>12550</v>
      </c>
      <c r="S24">
        <v>12507</v>
      </c>
      <c r="T24">
        <v>12509</v>
      </c>
      <c r="U24">
        <v>12551</v>
      </c>
      <c r="V24">
        <v>12607</v>
      </c>
      <c r="W24">
        <v>12614</v>
      </c>
      <c r="X24" s="12">
        <v>12614</v>
      </c>
    </row>
    <row r="25" spans="1:27" x14ac:dyDescent="0.25">
      <c r="A25" t="s">
        <v>23</v>
      </c>
      <c r="O25">
        <v>14010</v>
      </c>
      <c r="P25">
        <v>13705</v>
      </c>
      <c r="Q25">
        <v>15724</v>
      </c>
      <c r="R25">
        <v>13597</v>
      </c>
      <c r="S25">
        <v>13550</v>
      </c>
      <c r="T25">
        <v>13552</v>
      </c>
      <c r="U25">
        <v>13601</v>
      </c>
      <c r="V25">
        <v>13686</v>
      </c>
      <c r="W25">
        <v>13689</v>
      </c>
      <c r="X25" s="12">
        <v>13692</v>
      </c>
      <c r="Y25">
        <v>13697</v>
      </c>
    </row>
    <row r="26" spans="1:27" x14ac:dyDescent="0.25">
      <c r="A26" t="s">
        <v>24</v>
      </c>
      <c r="P26">
        <v>14388</v>
      </c>
      <c r="Q26">
        <v>16105</v>
      </c>
      <c r="R26">
        <v>14073</v>
      </c>
      <c r="S26">
        <v>14022</v>
      </c>
      <c r="T26">
        <v>14018</v>
      </c>
      <c r="U26">
        <v>14106</v>
      </c>
      <c r="V26">
        <v>14182</v>
      </c>
      <c r="W26">
        <v>14178</v>
      </c>
      <c r="X26" s="12">
        <v>14185</v>
      </c>
      <c r="Y26">
        <v>14190</v>
      </c>
      <c r="Z26">
        <v>14169</v>
      </c>
    </row>
    <row r="27" spans="1:27" x14ac:dyDescent="0.25">
      <c r="A27" t="s">
        <v>25</v>
      </c>
      <c r="Q27">
        <v>14875.9</v>
      </c>
      <c r="R27">
        <v>14948</v>
      </c>
      <c r="S27">
        <v>14873</v>
      </c>
      <c r="T27">
        <v>14736</v>
      </c>
      <c r="U27">
        <v>14856</v>
      </c>
      <c r="V27">
        <v>14917</v>
      </c>
      <c r="W27">
        <v>14912</v>
      </c>
      <c r="X27" s="12">
        <v>14916</v>
      </c>
      <c r="Y27">
        <v>14922</v>
      </c>
      <c r="Z27">
        <v>14891</v>
      </c>
      <c r="AA27">
        <v>14905</v>
      </c>
    </row>
    <row r="28" spans="1:27" x14ac:dyDescent="0.25">
      <c r="A28" t="s">
        <v>26</v>
      </c>
      <c r="R28">
        <v>16029</v>
      </c>
      <c r="S28">
        <v>15702</v>
      </c>
      <c r="T28">
        <v>15526</v>
      </c>
      <c r="U28">
        <v>15657</v>
      </c>
      <c r="V28">
        <v>15722</v>
      </c>
      <c r="W28">
        <v>15717</v>
      </c>
      <c r="X28" s="12">
        <v>15720</v>
      </c>
      <c r="Y28">
        <v>15726</v>
      </c>
      <c r="Z28">
        <v>15675</v>
      </c>
      <c r="AA28">
        <v>15694</v>
      </c>
    </row>
    <row r="29" spans="1:27" x14ac:dyDescent="0.25">
      <c r="A29" t="s">
        <v>27</v>
      </c>
      <c r="R29">
        <v>17132</v>
      </c>
      <c r="S29">
        <v>17453</v>
      </c>
      <c r="T29">
        <v>17243</v>
      </c>
      <c r="U29">
        <v>17396</v>
      </c>
      <c r="V29">
        <v>17209</v>
      </c>
      <c r="W29">
        <v>17202</v>
      </c>
      <c r="X29" s="12">
        <v>17207</v>
      </c>
      <c r="Y29">
        <v>17214</v>
      </c>
      <c r="Z29">
        <v>17177</v>
      </c>
      <c r="AA29">
        <v>17200</v>
      </c>
    </row>
    <row r="30" spans="1:27" x14ac:dyDescent="0.25">
      <c r="A30" t="s">
        <v>28</v>
      </c>
      <c r="R30">
        <v>17934</v>
      </c>
      <c r="S30">
        <v>18376</v>
      </c>
      <c r="T30">
        <v>18611</v>
      </c>
      <c r="U30">
        <v>18417</v>
      </c>
      <c r="V30">
        <v>18217</v>
      </c>
      <c r="W30">
        <v>18208</v>
      </c>
      <c r="X30" s="12">
        <v>18212</v>
      </c>
      <c r="Y30">
        <v>18220</v>
      </c>
      <c r="Z30">
        <v>18199</v>
      </c>
      <c r="AA30">
        <v>18230</v>
      </c>
    </row>
    <row r="31" spans="1:27" x14ac:dyDescent="0.25">
      <c r="A31" t="s">
        <v>29</v>
      </c>
      <c r="R31">
        <v>18707</v>
      </c>
      <c r="S31">
        <v>19313</v>
      </c>
      <c r="T31">
        <v>19122</v>
      </c>
      <c r="U31">
        <v>19803</v>
      </c>
      <c r="V31">
        <v>19271</v>
      </c>
      <c r="W31">
        <v>19264</v>
      </c>
      <c r="X31" s="12">
        <v>19267</v>
      </c>
      <c r="Y31">
        <v>19274</v>
      </c>
      <c r="Z31">
        <v>19244</v>
      </c>
      <c r="AA31">
        <v>19272</v>
      </c>
    </row>
    <row r="32" spans="1:27" x14ac:dyDescent="0.25">
      <c r="A32" t="s">
        <v>30</v>
      </c>
      <c r="S32">
        <v>20634</v>
      </c>
      <c r="T32">
        <v>19250</v>
      </c>
      <c r="U32">
        <v>20079</v>
      </c>
      <c r="V32">
        <v>20660</v>
      </c>
      <c r="W32">
        <v>20382</v>
      </c>
      <c r="X32" s="12">
        <v>20060</v>
      </c>
      <c r="Y32">
        <v>20054</v>
      </c>
      <c r="Z32">
        <v>20024</v>
      </c>
      <c r="AA32">
        <v>20058</v>
      </c>
    </row>
    <row r="33" spans="1:45" x14ac:dyDescent="0.25">
      <c r="A33" t="s">
        <v>31</v>
      </c>
      <c r="T33">
        <v>20031</v>
      </c>
      <c r="U33">
        <v>20194</v>
      </c>
      <c r="V33">
        <v>20366</v>
      </c>
      <c r="W33">
        <v>20954</v>
      </c>
      <c r="X33" s="12">
        <v>20556</v>
      </c>
      <c r="Y33">
        <v>20452</v>
      </c>
      <c r="Z33">
        <v>20428</v>
      </c>
      <c r="AA33">
        <v>20462</v>
      </c>
    </row>
    <row r="34" spans="1:45" x14ac:dyDescent="0.25">
      <c r="A34" t="s">
        <v>32</v>
      </c>
      <c r="U34">
        <v>20780</v>
      </c>
      <c r="V34">
        <v>20604</v>
      </c>
      <c r="W34">
        <v>21290</v>
      </c>
      <c r="X34" s="12">
        <v>21391</v>
      </c>
      <c r="Y34">
        <v>21497</v>
      </c>
      <c r="Z34">
        <v>21487</v>
      </c>
      <c r="AA34">
        <v>21525</v>
      </c>
    </row>
    <row r="35" spans="1:45" x14ac:dyDescent="0.25">
      <c r="A35" t="s">
        <v>33</v>
      </c>
      <c r="V35">
        <v>21041</v>
      </c>
      <c r="W35">
        <v>21678</v>
      </c>
      <c r="X35" s="12">
        <v>21326</v>
      </c>
      <c r="Y35">
        <v>22359</v>
      </c>
      <c r="Z35">
        <v>22226</v>
      </c>
      <c r="AA35">
        <v>21814</v>
      </c>
    </row>
    <row r="36" spans="1:45" x14ac:dyDescent="0.25">
      <c r="A36" t="s">
        <v>34</v>
      </c>
      <c r="W36">
        <v>21906</v>
      </c>
      <c r="X36" s="12">
        <v>21614</v>
      </c>
      <c r="Y36">
        <v>22197</v>
      </c>
      <c r="Z36">
        <v>23448</v>
      </c>
      <c r="AA36">
        <v>23506</v>
      </c>
    </row>
    <row r="37" spans="1:45" x14ac:dyDescent="0.25">
      <c r="A37" t="s">
        <v>35</v>
      </c>
      <c r="X37" s="12">
        <v>21938</v>
      </c>
      <c r="Y37">
        <v>22382</v>
      </c>
      <c r="Z37">
        <v>23108</v>
      </c>
      <c r="AA37">
        <v>25280</v>
      </c>
      <c r="AB37">
        <v>23589</v>
      </c>
    </row>
    <row r="38" spans="1:45" x14ac:dyDescent="0.25">
      <c r="A38" t="s">
        <v>36</v>
      </c>
      <c r="Y38">
        <v>22794</v>
      </c>
      <c r="Z38">
        <v>23349</v>
      </c>
      <c r="AA38">
        <v>25003</v>
      </c>
      <c r="AB38">
        <v>26538</v>
      </c>
      <c r="AC38">
        <v>26259</v>
      </c>
    </row>
    <row r="39" spans="1:45" x14ac:dyDescent="0.25">
      <c r="A39" t="s">
        <v>37</v>
      </c>
      <c r="Z39">
        <v>23522</v>
      </c>
      <c r="AA39">
        <v>25555</v>
      </c>
      <c r="AB39">
        <v>26071</v>
      </c>
      <c r="AC39">
        <v>27964</v>
      </c>
      <c r="AD39">
        <v>29557</v>
      </c>
    </row>
    <row r="40" spans="1:45" x14ac:dyDescent="0.25">
      <c r="A40" t="s">
        <v>38</v>
      </c>
      <c r="AA40">
        <v>25548</v>
      </c>
      <c r="AB40">
        <v>26732</v>
      </c>
      <c r="AC40">
        <v>28395</v>
      </c>
      <c r="AD40">
        <v>30988</v>
      </c>
      <c r="AE40">
        <v>35260</v>
      </c>
    </row>
    <row r="41" spans="1:45" x14ac:dyDescent="0.25">
      <c r="A41" t="s">
        <v>39</v>
      </c>
      <c r="AB41">
        <v>27270</v>
      </c>
      <c r="AC41">
        <v>28972</v>
      </c>
      <c r="AD41">
        <v>32151</v>
      </c>
      <c r="AE41">
        <v>37023</v>
      </c>
      <c r="AF41">
        <v>37238</v>
      </c>
    </row>
    <row r="42" spans="1:45" x14ac:dyDescent="0.25">
      <c r="A42" t="s">
        <v>40</v>
      </c>
      <c r="AC42">
        <v>13218</v>
      </c>
      <c r="AD42">
        <v>33896</v>
      </c>
      <c r="AE42" s="1">
        <v>39146</v>
      </c>
      <c r="AF42" s="1">
        <v>38688</v>
      </c>
      <c r="AG42" s="1">
        <v>41542</v>
      </c>
      <c r="AH42" s="1"/>
      <c r="AI42" s="1"/>
      <c r="AJ42" s="1"/>
      <c r="AK42" s="1"/>
      <c r="AL42" s="1"/>
      <c r="AM42" s="1"/>
      <c r="AN42" s="1"/>
      <c r="AO42" s="1"/>
      <c r="AP42" s="1"/>
      <c r="AQ42" s="1"/>
      <c r="AR42" s="1"/>
      <c r="AS42" s="1"/>
    </row>
    <row r="43" spans="1:45" x14ac:dyDescent="0.25">
      <c r="A43" t="s">
        <v>41</v>
      </c>
      <c r="AD43">
        <v>35457</v>
      </c>
      <c r="AE43" s="1">
        <v>40801</v>
      </c>
      <c r="AF43" s="1">
        <v>40028</v>
      </c>
      <c r="AG43" s="1">
        <f>44576</f>
        <v>44576</v>
      </c>
      <c r="AH43" s="1">
        <v>45570</v>
      </c>
      <c r="AI43" s="1"/>
      <c r="AJ43" s="1"/>
      <c r="AK43" s="1"/>
      <c r="AL43" s="1"/>
      <c r="AM43" s="1"/>
      <c r="AN43" s="1"/>
      <c r="AO43" s="1"/>
      <c r="AP43" s="1"/>
      <c r="AQ43" s="1"/>
      <c r="AR43" s="1"/>
      <c r="AS43" s="1"/>
    </row>
    <row r="44" spans="1:45" x14ac:dyDescent="0.25">
      <c r="A44" t="s">
        <v>42</v>
      </c>
      <c r="AE44" s="1">
        <v>42358</v>
      </c>
      <c r="AF44" s="1">
        <v>41760</v>
      </c>
      <c r="AG44" s="1">
        <v>45427</v>
      </c>
      <c r="AH44" s="1">
        <v>48518</v>
      </c>
      <c r="AI44" s="1">
        <v>48712</v>
      </c>
      <c r="AJ44" s="1"/>
      <c r="AK44" s="1"/>
      <c r="AL44" s="1"/>
      <c r="AM44" s="1"/>
      <c r="AN44" s="1"/>
      <c r="AO44" s="1"/>
      <c r="AP44" s="1"/>
      <c r="AQ44" s="1"/>
      <c r="AR44" s="1"/>
      <c r="AS44" s="1"/>
    </row>
    <row r="45" spans="1:45" x14ac:dyDescent="0.25">
      <c r="A45" t="s">
        <v>43</v>
      </c>
      <c r="AE45" s="1"/>
      <c r="AF45" s="1">
        <v>43837</v>
      </c>
      <c r="AG45" s="1">
        <v>47539</v>
      </c>
      <c r="AH45" s="1">
        <v>50850</v>
      </c>
      <c r="AI45" s="1">
        <v>54480</v>
      </c>
      <c r="AJ45" s="1">
        <v>52560</v>
      </c>
      <c r="AK45" s="1"/>
      <c r="AL45" s="1"/>
      <c r="AM45" s="1"/>
      <c r="AN45" s="1"/>
      <c r="AO45" s="1"/>
      <c r="AP45" s="1"/>
      <c r="AQ45" s="1"/>
      <c r="AR45" s="1"/>
      <c r="AS45" s="1"/>
    </row>
    <row r="46" spans="1:45" x14ac:dyDescent="0.25">
      <c r="A46" t="s">
        <v>44</v>
      </c>
      <c r="AE46" s="1"/>
      <c r="AF46" s="1"/>
      <c r="AG46" s="1">
        <v>50206</v>
      </c>
      <c r="AH46" s="1">
        <v>53025</v>
      </c>
      <c r="AI46" s="1">
        <v>55376</v>
      </c>
      <c r="AJ46" s="1">
        <v>58279</v>
      </c>
      <c r="AK46" s="1">
        <v>52691</v>
      </c>
      <c r="AL46" s="1"/>
      <c r="AM46" s="1"/>
      <c r="AN46" s="1"/>
      <c r="AO46" s="1"/>
      <c r="AP46" s="1"/>
      <c r="AQ46" s="1"/>
      <c r="AR46" s="1"/>
      <c r="AS46" s="1"/>
    </row>
    <row r="47" spans="1:45" x14ac:dyDescent="0.25">
      <c r="A47" t="s">
        <v>45</v>
      </c>
      <c r="AE47" s="1"/>
      <c r="AF47" s="1"/>
      <c r="AG47" s="1"/>
      <c r="AH47" s="1">
        <v>54211</v>
      </c>
      <c r="AI47" s="1">
        <v>56643</v>
      </c>
      <c r="AJ47" s="1">
        <v>61182</v>
      </c>
      <c r="AK47" s="1">
        <v>55162</v>
      </c>
      <c r="AL47" s="1">
        <f>56813</f>
        <v>56813</v>
      </c>
      <c r="AM47" s="1"/>
      <c r="AN47" s="1"/>
      <c r="AO47" s="1"/>
      <c r="AP47" s="1"/>
      <c r="AQ47" s="1"/>
      <c r="AR47" s="1"/>
      <c r="AS47" s="1"/>
    </row>
    <row r="48" spans="1:45" x14ac:dyDescent="0.25">
      <c r="A48" t="s">
        <v>46</v>
      </c>
      <c r="AE48" s="1"/>
      <c r="AF48" s="1"/>
      <c r="AG48" s="1"/>
      <c r="AH48" s="1"/>
      <c r="AI48" s="1">
        <v>59099</v>
      </c>
      <c r="AJ48" s="1">
        <v>64270</v>
      </c>
      <c r="AK48" s="1">
        <v>58215</v>
      </c>
      <c r="AL48" s="1">
        <f>62201</f>
        <v>62201</v>
      </c>
      <c r="AM48" s="1">
        <v>62931</v>
      </c>
      <c r="AN48" s="1"/>
      <c r="AO48" s="1"/>
      <c r="AP48" s="1"/>
      <c r="AQ48" s="1"/>
      <c r="AR48" s="1"/>
      <c r="AS48" s="1"/>
    </row>
    <row r="49" spans="1:45" x14ac:dyDescent="0.25">
      <c r="A49" t="s">
        <v>47</v>
      </c>
      <c r="AE49" s="1"/>
      <c r="AF49" s="1"/>
      <c r="AG49" s="1"/>
      <c r="AH49" s="1"/>
      <c r="AI49" s="1"/>
      <c r="AJ49" s="1">
        <v>67239</v>
      </c>
      <c r="AK49" s="1">
        <v>60440</v>
      </c>
      <c r="AL49" s="1">
        <f>61828</f>
        <v>61828</v>
      </c>
      <c r="AM49" s="1">
        <v>66403</v>
      </c>
      <c r="AN49" s="1">
        <v>66702</v>
      </c>
      <c r="AO49" s="1"/>
      <c r="AP49" s="1"/>
      <c r="AQ49" s="1"/>
      <c r="AR49" s="1"/>
      <c r="AS49" s="1"/>
    </row>
    <row r="50" spans="1:45" x14ac:dyDescent="0.25">
      <c r="A50" t="s">
        <v>48</v>
      </c>
      <c r="AE50" s="1"/>
      <c r="AF50" s="1"/>
      <c r="AG50" s="1"/>
      <c r="AH50" s="1"/>
      <c r="AI50" s="1"/>
      <c r="AJ50" s="1"/>
      <c r="AK50" s="1">
        <v>62130</v>
      </c>
      <c r="AL50" s="1">
        <f>64487</f>
        <v>64487</v>
      </c>
      <c r="AM50" s="1">
        <v>67136</v>
      </c>
      <c r="AN50" s="1">
        <v>70308</v>
      </c>
      <c r="AO50" s="1">
        <v>70020</v>
      </c>
      <c r="AP50" s="1"/>
      <c r="AQ50" s="1"/>
      <c r="AR50" s="1"/>
      <c r="AS50" s="1"/>
    </row>
    <row r="51" spans="1:45" x14ac:dyDescent="0.25">
      <c r="A51" t="s">
        <v>49</v>
      </c>
      <c r="AE51" s="1"/>
      <c r="AF51" s="1"/>
      <c r="AG51" s="1"/>
      <c r="AH51" s="1"/>
      <c r="AI51" s="1"/>
      <c r="AJ51" s="1"/>
      <c r="AK51" s="1"/>
      <c r="AL51" s="1">
        <f>66303</f>
        <v>66303</v>
      </c>
      <c r="AM51" s="1">
        <v>70167</v>
      </c>
      <c r="AN51" s="1">
        <v>70386</v>
      </c>
      <c r="AO51" s="1">
        <v>71162</v>
      </c>
      <c r="AP51" s="1">
        <v>72855</v>
      </c>
      <c r="AQ51" s="1"/>
      <c r="AR51" s="1"/>
      <c r="AS51" s="1"/>
    </row>
    <row r="52" spans="1:45" x14ac:dyDescent="0.25">
      <c r="A52" t="s">
        <v>50</v>
      </c>
      <c r="AE52" s="1"/>
      <c r="AF52" s="1"/>
      <c r="AG52" s="1"/>
      <c r="AH52" s="1"/>
      <c r="AI52" s="1"/>
      <c r="AJ52" s="1"/>
      <c r="AK52" s="1"/>
      <c r="AL52" s="1"/>
      <c r="AM52" s="1">
        <v>75418</v>
      </c>
      <c r="AN52" s="1">
        <v>74023</v>
      </c>
      <c r="AO52" s="1">
        <v>74089</v>
      </c>
      <c r="AP52" s="1">
        <v>76293</v>
      </c>
      <c r="AQ52" s="1">
        <v>74438</v>
      </c>
      <c r="AR52" s="1"/>
      <c r="AS52" s="1"/>
    </row>
    <row r="53" spans="1:45" x14ac:dyDescent="0.25">
      <c r="A53" t="s">
        <v>51</v>
      </c>
      <c r="AE53" s="1"/>
      <c r="AF53" s="1"/>
      <c r="AG53" s="1"/>
      <c r="AH53" s="1"/>
      <c r="AI53" s="1"/>
      <c r="AJ53" s="1"/>
      <c r="AK53" s="1"/>
      <c r="AL53" s="1"/>
      <c r="AM53" s="1"/>
      <c r="AN53" s="1">
        <v>78587</v>
      </c>
      <c r="AO53" s="1">
        <v>78347</v>
      </c>
      <c r="AP53" s="1">
        <v>78496</v>
      </c>
      <c r="AQ53" s="1">
        <v>79807</v>
      </c>
      <c r="AR53" s="1">
        <v>80293</v>
      </c>
      <c r="AS53" s="1"/>
    </row>
    <row r="54" spans="1:45" x14ac:dyDescent="0.25">
      <c r="A54" t="s">
        <v>52</v>
      </c>
      <c r="AE54" s="1"/>
      <c r="AF54" s="1"/>
      <c r="AG54" s="1"/>
      <c r="AH54" s="1"/>
      <c r="AI54" s="1"/>
      <c r="AJ54" s="1"/>
      <c r="AK54" s="1"/>
      <c r="AL54" s="1"/>
      <c r="AM54" s="1"/>
      <c r="AN54" s="1"/>
      <c r="AO54" s="1">
        <v>83892</v>
      </c>
      <c r="AP54" s="1">
        <v>83534</v>
      </c>
      <c r="AQ54" s="1">
        <v>81515</v>
      </c>
      <c r="AR54" s="1">
        <v>85076</v>
      </c>
      <c r="AS54" s="1"/>
    </row>
    <row r="55" spans="1:45" x14ac:dyDescent="0.25">
      <c r="A55" t="s">
        <v>53</v>
      </c>
      <c r="AE55" s="1"/>
      <c r="AF55" s="1"/>
      <c r="AG55" s="1"/>
      <c r="AH55" s="1"/>
      <c r="AI55" s="1"/>
      <c r="AJ55" s="1"/>
      <c r="AK55" s="1"/>
      <c r="AL55" s="1"/>
      <c r="AM55" s="1"/>
      <c r="AN55" s="1"/>
      <c r="AO55" s="1"/>
      <c r="AP55" s="1">
        <v>87006</v>
      </c>
      <c r="AQ55" s="1">
        <v>84612</v>
      </c>
      <c r="AR55" s="1">
        <v>85811</v>
      </c>
      <c r="AS55" s="1"/>
    </row>
    <row r="56" spans="1:45" x14ac:dyDescent="0.25">
      <c r="A56" t="s">
        <v>54</v>
      </c>
      <c r="AE56" s="1"/>
      <c r="AF56" s="1"/>
      <c r="AG56" s="1"/>
      <c r="AH56" s="1"/>
      <c r="AI56" s="1"/>
      <c r="AJ56" s="1"/>
      <c r="AK56" s="1"/>
      <c r="AL56" s="1"/>
      <c r="AM56" s="1"/>
      <c r="AN56" s="1"/>
      <c r="AO56" s="1"/>
      <c r="AP56" s="1"/>
      <c r="AQ56" s="1">
        <v>88415</v>
      </c>
      <c r="AR56" s="1">
        <v>94409</v>
      </c>
      <c r="AS56" s="1"/>
    </row>
    <row r="57" spans="1:45" x14ac:dyDescent="0.25">
      <c r="AE57" s="1"/>
      <c r="AF57" s="1"/>
      <c r="AG57" s="1"/>
      <c r="AH57" s="1"/>
      <c r="AI57" s="1"/>
      <c r="AJ57" s="1"/>
      <c r="AK57" s="1"/>
      <c r="AL57" s="1"/>
      <c r="AM57" s="1"/>
      <c r="AN57" s="1"/>
      <c r="AO57" s="1"/>
      <c r="AP57" s="1"/>
      <c r="AQ57" s="1"/>
      <c r="AR57" s="1">
        <v>98631</v>
      </c>
      <c r="AS57" s="1"/>
    </row>
    <row r="58" spans="1:45" x14ac:dyDescent="0.25">
      <c r="AE58" s="1"/>
      <c r="AF58" s="1"/>
      <c r="AG58" s="1"/>
      <c r="AH58" s="1"/>
      <c r="AI58" s="1"/>
      <c r="AJ58" s="1"/>
      <c r="AK58" s="1"/>
      <c r="AL58" s="1"/>
      <c r="AM58" s="1"/>
      <c r="AN58" s="1"/>
      <c r="AO58" s="1"/>
      <c r="AP58" s="1"/>
      <c r="AQ58" s="1"/>
      <c r="AR58" s="1"/>
      <c r="AS58" s="1"/>
    </row>
    <row r="59" spans="1:45" x14ac:dyDescent="0.25">
      <c r="AE59" s="1"/>
      <c r="AF59" s="1"/>
      <c r="AG59" s="1"/>
      <c r="AH59" s="1"/>
      <c r="AI59" s="1"/>
      <c r="AJ59" s="1"/>
      <c r="AK59" s="1"/>
      <c r="AL59" s="1"/>
      <c r="AM59" s="1"/>
      <c r="AN59" s="1"/>
      <c r="AO59" s="1"/>
      <c r="AP59" s="1"/>
      <c r="AQ59" s="1"/>
      <c r="AR59" s="1"/>
      <c r="AS59" s="1"/>
    </row>
    <row r="60" spans="1:45" x14ac:dyDescent="0.25">
      <c r="AE60" s="1"/>
      <c r="AF60" s="1"/>
      <c r="AG60" s="1"/>
      <c r="AH60" s="1"/>
      <c r="AI60" s="1"/>
      <c r="AJ60" s="1"/>
      <c r="AK60" s="1"/>
      <c r="AL60" s="1"/>
      <c r="AM60" s="1"/>
      <c r="AN60" s="1"/>
      <c r="AO60" s="1"/>
      <c r="AP60" s="1"/>
      <c r="AQ60" s="1"/>
      <c r="AR60" s="1"/>
      <c r="AS60" s="1"/>
    </row>
    <row r="61" spans="1:45" x14ac:dyDescent="0.25">
      <c r="AE61" s="1"/>
      <c r="AF61" s="1"/>
      <c r="AG61" s="1"/>
      <c r="AH61" s="1"/>
      <c r="AI61" s="1"/>
      <c r="AJ61" s="1"/>
      <c r="AK61" s="1"/>
      <c r="AL61" s="1"/>
      <c r="AM61" s="1"/>
      <c r="AN61" s="1"/>
      <c r="AO61" s="1"/>
      <c r="AP61" s="1"/>
      <c r="AQ61" s="1"/>
      <c r="AR61" s="1"/>
      <c r="AS61" s="1"/>
    </row>
    <row r="62" spans="1:45" x14ac:dyDescent="0.25">
      <c r="AE62" s="1"/>
      <c r="AF62" s="1"/>
      <c r="AG62" s="1"/>
      <c r="AH62" s="1"/>
      <c r="AI62" s="1"/>
      <c r="AJ62" s="1"/>
      <c r="AK62" s="1"/>
      <c r="AL62" s="1"/>
      <c r="AM62" s="1"/>
      <c r="AN62" s="1"/>
      <c r="AO62" s="1"/>
      <c r="AP62" s="1"/>
      <c r="AQ62" s="1"/>
      <c r="AR62" s="1"/>
      <c r="AS62" s="1"/>
    </row>
    <row r="63" spans="1:45" x14ac:dyDescent="0.25">
      <c r="AE63" s="1"/>
      <c r="AF63" s="1"/>
      <c r="AG63" s="1"/>
      <c r="AH63" s="1"/>
      <c r="AI63" s="1"/>
      <c r="AJ63" s="1"/>
      <c r="AK63" s="1"/>
      <c r="AL63" s="1"/>
      <c r="AM63" s="1"/>
      <c r="AN63" s="1"/>
      <c r="AO63" s="1"/>
      <c r="AP63" s="1"/>
      <c r="AQ63" s="1"/>
      <c r="AR63" s="1"/>
      <c r="AS63" s="1"/>
    </row>
    <row r="64" spans="1:45" x14ac:dyDescent="0.25">
      <c r="AE64" s="1"/>
      <c r="AF64" s="1"/>
      <c r="AG64" s="1"/>
      <c r="AH64" s="1"/>
      <c r="AI64" s="1"/>
      <c r="AJ64" s="1"/>
      <c r="AK64" s="1"/>
      <c r="AL64" s="1"/>
      <c r="AM64" s="1"/>
      <c r="AN64" s="1"/>
      <c r="AO64" s="1"/>
      <c r="AP64" s="1"/>
      <c r="AQ64" s="1"/>
      <c r="AR64" s="1"/>
      <c r="AS64" s="1"/>
    </row>
    <row r="65" spans="31:45" x14ac:dyDescent="0.25">
      <c r="AE65" s="1"/>
      <c r="AF65" s="1"/>
      <c r="AG65" s="1"/>
      <c r="AH65" s="1"/>
      <c r="AI65" s="1"/>
      <c r="AJ65" s="1"/>
      <c r="AK65" s="1"/>
      <c r="AL65" s="1"/>
      <c r="AM65" s="1"/>
      <c r="AN65" s="1"/>
      <c r="AO65" s="1"/>
      <c r="AP65" s="1"/>
      <c r="AQ65" s="1"/>
      <c r="AR65" s="1"/>
      <c r="AS65" s="1"/>
    </row>
    <row r="66" spans="31:45" x14ac:dyDescent="0.25">
      <c r="AE66" s="1"/>
      <c r="AF66" s="1"/>
      <c r="AG66" s="1"/>
      <c r="AH66" s="1"/>
      <c r="AI66" s="1"/>
      <c r="AJ66" s="1"/>
      <c r="AK66" s="1"/>
      <c r="AL66" s="1"/>
      <c r="AM66" s="1"/>
      <c r="AN66" s="1"/>
      <c r="AO66" s="1"/>
      <c r="AP66" s="1"/>
      <c r="AQ66" s="1"/>
      <c r="AR66" s="1"/>
      <c r="AS66"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4"/>
  <sheetViews>
    <sheetView workbookViewId="0">
      <pane xSplit="1" ySplit="1" topLeftCell="L2" activePane="bottomRight" state="frozen"/>
      <selection pane="topRight" activeCell="B1" sqref="B1"/>
      <selection pane="bottomLeft" activeCell="A2" sqref="A2"/>
      <selection pane="bottomRight"/>
    </sheetView>
  </sheetViews>
  <sheetFormatPr defaultRowHeight="15" x14ac:dyDescent="0.25"/>
  <cols>
    <col min="1" max="1" width="7.7109375" bestFit="1" customWidth="1"/>
    <col min="2" max="10" width="9.85546875" bestFit="1" customWidth="1"/>
    <col min="11" max="23" width="11.140625" bestFit="1" customWidth="1"/>
    <col min="24" max="24" width="11.140625" style="12" bestFit="1" customWidth="1"/>
    <col min="25" max="44" width="11.140625" bestFit="1" customWidth="1"/>
  </cols>
  <sheetData>
    <row r="1" spans="1:44" x14ac:dyDescent="0.25">
      <c r="B1" t="s">
        <v>203</v>
      </c>
      <c r="C1" t="s">
        <v>204</v>
      </c>
      <c r="D1" t="s">
        <v>205</v>
      </c>
      <c r="E1" t="s">
        <v>206</v>
      </c>
      <c r="F1" t="s">
        <v>207</v>
      </c>
      <c r="G1" t="s">
        <v>208</v>
      </c>
      <c r="H1" t="s">
        <v>209</v>
      </c>
      <c r="I1" t="s">
        <v>210</v>
      </c>
      <c r="J1" t="s">
        <v>211</v>
      </c>
      <c r="K1" t="s">
        <v>98</v>
      </c>
      <c r="L1" t="s">
        <v>99</v>
      </c>
      <c r="M1" t="s">
        <v>100</v>
      </c>
      <c r="N1" t="s">
        <v>101</v>
      </c>
      <c r="O1" t="s">
        <v>102</v>
      </c>
      <c r="P1" t="s">
        <v>103</v>
      </c>
      <c r="Q1" t="s">
        <v>104</v>
      </c>
      <c r="R1" t="s">
        <v>105</v>
      </c>
      <c r="S1" t="s">
        <v>106</v>
      </c>
      <c r="T1" t="s">
        <v>107</v>
      </c>
      <c r="U1" t="s">
        <v>108</v>
      </c>
      <c r="V1" t="s">
        <v>109</v>
      </c>
      <c r="W1" t="s">
        <v>110</v>
      </c>
      <c r="X1" s="12" t="s">
        <v>111</v>
      </c>
      <c r="Y1" t="s">
        <v>112</v>
      </c>
      <c r="Z1" t="s">
        <v>113</v>
      </c>
      <c r="AA1" t="s">
        <v>114</v>
      </c>
      <c r="AB1" t="s">
        <v>115</v>
      </c>
      <c r="AC1" t="s">
        <v>116</v>
      </c>
      <c r="AD1" t="s">
        <v>117</v>
      </c>
      <c r="AE1" t="s">
        <v>118</v>
      </c>
      <c r="AF1" t="s">
        <v>119</v>
      </c>
      <c r="AG1" t="s">
        <v>120</v>
      </c>
      <c r="AH1" t="s">
        <v>121</v>
      </c>
      <c r="AI1" t="s">
        <v>122</v>
      </c>
      <c r="AJ1" t="s">
        <v>123</v>
      </c>
      <c r="AK1" t="s">
        <v>124</v>
      </c>
      <c r="AL1" t="s">
        <v>125</v>
      </c>
      <c r="AM1" t="s">
        <v>126</v>
      </c>
      <c r="AN1" t="s">
        <v>127</v>
      </c>
      <c r="AO1" t="s">
        <v>128</v>
      </c>
      <c r="AP1" t="s">
        <v>129</v>
      </c>
      <c r="AQ1" t="s">
        <v>130</v>
      </c>
      <c r="AR1" t="s">
        <v>131</v>
      </c>
    </row>
    <row r="2" spans="1:44" x14ac:dyDescent="0.25">
      <c r="A2" t="s">
        <v>0</v>
      </c>
      <c r="B2">
        <v>87</v>
      </c>
    </row>
    <row r="3" spans="1:44" x14ac:dyDescent="0.25">
      <c r="A3" t="s">
        <v>1</v>
      </c>
      <c r="B3">
        <v>103</v>
      </c>
      <c r="C3">
        <v>103</v>
      </c>
    </row>
    <row r="4" spans="1:44" x14ac:dyDescent="0.25">
      <c r="A4" t="s">
        <v>2</v>
      </c>
      <c r="B4">
        <v>117</v>
      </c>
      <c r="C4">
        <v>117</v>
      </c>
      <c r="D4">
        <v>118</v>
      </c>
    </row>
    <row r="5" spans="1:44" x14ac:dyDescent="0.25">
      <c r="A5" t="s">
        <v>3</v>
      </c>
      <c r="B5">
        <v>142</v>
      </c>
      <c r="C5">
        <v>142</v>
      </c>
      <c r="D5">
        <v>144</v>
      </c>
      <c r="E5">
        <v>134</v>
      </c>
    </row>
    <row r="6" spans="1:44" x14ac:dyDescent="0.25">
      <c r="A6" t="s">
        <v>4</v>
      </c>
      <c r="B6">
        <v>162</v>
      </c>
      <c r="C6">
        <v>162</v>
      </c>
      <c r="D6">
        <v>164</v>
      </c>
      <c r="E6">
        <v>151</v>
      </c>
      <c r="F6">
        <v>151</v>
      </c>
    </row>
    <row r="7" spans="1:44" x14ac:dyDescent="0.25">
      <c r="A7" t="s">
        <v>5</v>
      </c>
      <c r="B7">
        <v>179</v>
      </c>
      <c r="C7">
        <v>179</v>
      </c>
      <c r="D7">
        <v>181</v>
      </c>
      <c r="E7">
        <v>170</v>
      </c>
      <c r="F7">
        <v>170</v>
      </c>
      <c r="G7">
        <v>170</v>
      </c>
    </row>
    <row r="8" spans="1:44" x14ac:dyDescent="0.25">
      <c r="A8" t="s">
        <v>6</v>
      </c>
      <c r="B8">
        <v>183</v>
      </c>
      <c r="C8">
        <v>183</v>
      </c>
      <c r="D8">
        <v>185</v>
      </c>
      <c r="E8">
        <v>172</v>
      </c>
      <c r="F8">
        <v>172</v>
      </c>
      <c r="G8">
        <v>172</v>
      </c>
      <c r="H8">
        <v>172</v>
      </c>
    </row>
    <row r="9" spans="1:44" x14ac:dyDescent="0.25">
      <c r="A9" t="s">
        <v>7</v>
      </c>
      <c r="B9">
        <v>218</v>
      </c>
      <c r="C9">
        <v>218</v>
      </c>
      <c r="D9">
        <v>220</v>
      </c>
      <c r="E9">
        <v>206</v>
      </c>
      <c r="F9">
        <v>206</v>
      </c>
      <c r="G9">
        <v>206</v>
      </c>
      <c r="H9">
        <v>206</v>
      </c>
      <c r="I9">
        <v>206</v>
      </c>
    </row>
    <row r="10" spans="1:44" x14ac:dyDescent="0.25">
      <c r="A10" t="s">
        <v>8</v>
      </c>
      <c r="B10">
        <v>218</v>
      </c>
      <c r="C10">
        <v>218</v>
      </c>
      <c r="D10">
        <v>221</v>
      </c>
      <c r="E10">
        <v>204</v>
      </c>
      <c r="F10">
        <v>204</v>
      </c>
      <c r="G10">
        <v>204</v>
      </c>
      <c r="H10">
        <v>204</v>
      </c>
      <c r="I10">
        <v>204</v>
      </c>
      <c r="J10">
        <v>204</v>
      </c>
    </row>
    <row r="11" spans="1:44" x14ac:dyDescent="0.25">
      <c r="A11" t="s">
        <v>9</v>
      </c>
      <c r="B11">
        <v>230</v>
      </c>
      <c r="C11">
        <v>230</v>
      </c>
      <c r="D11">
        <v>234</v>
      </c>
      <c r="E11">
        <v>223</v>
      </c>
      <c r="F11">
        <v>223</v>
      </c>
      <c r="G11">
        <v>223</v>
      </c>
      <c r="H11">
        <v>223</v>
      </c>
      <c r="I11">
        <v>223</v>
      </c>
      <c r="J11">
        <v>223</v>
      </c>
      <c r="K11">
        <v>223</v>
      </c>
      <c r="P11">
        <v>130</v>
      </c>
    </row>
    <row r="12" spans="1:44" x14ac:dyDescent="0.25">
      <c r="A12" t="s">
        <v>10</v>
      </c>
      <c r="B12">
        <v>311</v>
      </c>
      <c r="C12">
        <v>283</v>
      </c>
      <c r="D12">
        <v>275</v>
      </c>
      <c r="E12">
        <v>266</v>
      </c>
      <c r="F12">
        <v>266</v>
      </c>
      <c r="G12">
        <v>266</v>
      </c>
      <c r="H12">
        <v>266</v>
      </c>
      <c r="I12">
        <v>266</v>
      </c>
      <c r="J12">
        <v>266</v>
      </c>
      <c r="K12">
        <v>266</v>
      </c>
      <c r="L12">
        <v>266</v>
      </c>
      <c r="P12">
        <v>170</v>
      </c>
    </row>
    <row r="13" spans="1:44" x14ac:dyDescent="0.25">
      <c r="A13" t="s">
        <v>11</v>
      </c>
      <c r="C13">
        <v>412</v>
      </c>
      <c r="D13">
        <v>410</v>
      </c>
      <c r="E13">
        <v>408</v>
      </c>
      <c r="F13">
        <v>404</v>
      </c>
      <c r="G13">
        <v>404</v>
      </c>
      <c r="H13">
        <v>404</v>
      </c>
      <c r="I13">
        <v>404</v>
      </c>
      <c r="J13">
        <v>404</v>
      </c>
      <c r="K13">
        <v>404</v>
      </c>
      <c r="L13">
        <v>404</v>
      </c>
      <c r="M13">
        <v>404</v>
      </c>
      <c r="P13">
        <v>308</v>
      </c>
    </row>
    <row r="14" spans="1:44" x14ac:dyDescent="0.25">
      <c r="A14" t="s">
        <v>12</v>
      </c>
      <c r="D14">
        <v>567</v>
      </c>
      <c r="E14">
        <v>559</v>
      </c>
      <c r="F14">
        <v>559</v>
      </c>
      <c r="G14">
        <v>564</v>
      </c>
      <c r="H14">
        <v>564</v>
      </c>
      <c r="I14">
        <v>564</v>
      </c>
      <c r="J14">
        <v>564</v>
      </c>
      <c r="K14">
        <v>564</v>
      </c>
      <c r="L14">
        <v>564</v>
      </c>
      <c r="M14">
        <v>564</v>
      </c>
      <c r="N14">
        <v>307</v>
      </c>
      <c r="P14">
        <v>318</v>
      </c>
    </row>
    <row r="15" spans="1:44" x14ac:dyDescent="0.25">
      <c r="A15" t="s">
        <v>13</v>
      </c>
      <c r="E15">
        <v>527</v>
      </c>
      <c r="F15">
        <v>516</v>
      </c>
      <c r="G15">
        <v>521</v>
      </c>
      <c r="H15">
        <v>520</v>
      </c>
      <c r="I15">
        <v>520</v>
      </c>
      <c r="J15">
        <v>520</v>
      </c>
      <c r="K15">
        <v>520</v>
      </c>
      <c r="L15">
        <v>520</v>
      </c>
      <c r="M15">
        <v>520</v>
      </c>
      <c r="N15">
        <v>275</v>
      </c>
      <c r="O15">
        <v>294</v>
      </c>
      <c r="P15">
        <v>286</v>
      </c>
    </row>
    <row r="16" spans="1:44" x14ac:dyDescent="0.25">
      <c r="A16" t="s">
        <v>14</v>
      </c>
      <c r="F16">
        <v>476</v>
      </c>
      <c r="G16">
        <v>454</v>
      </c>
      <c r="H16">
        <v>451</v>
      </c>
      <c r="I16">
        <v>451</v>
      </c>
      <c r="J16">
        <v>388</v>
      </c>
      <c r="K16">
        <v>388</v>
      </c>
      <c r="L16">
        <v>388</v>
      </c>
      <c r="M16">
        <v>388</v>
      </c>
      <c r="N16">
        <v>149</v>
      </c>
      <c r="O16">
        <v>170</v>
      </c>
      <c r="P16">
        <v>163</v>
      </c>
    </row>
    <row r="17" spans="1:27" x14ac:dyDescent="0.25">
      <c r="A17" t="s">
        <v>15</v>
      </c>
      <c r="G17">
        <v>345</v>
      </c>
      <c r="H17">
        <v>331</v>
      </c>
      <c r="I17">
        <v>331</v>
      </c>
      <c r="J17">
        <v>298</v>
      </c>
      <c r="K17">
        <v>298</v>
      </c>
      <c r="L17">
        <v>298</v>
      </c>
      <c r="M17">
        <v>298</v>
      </c>
      <c r="N17">
        <v>98</v>
      </c>
      <c r="O17">
        <v>97</v>
      </c>
      <c r="P17">
        <v>83</v>
      </c>
      <c r="Q17">
        <v>88</v>
      </c>
    </row>
    <row r="18" spans="1:27" x14ac:dyDescent="0.25">
      <c r="A18" t="s">
        <v>16</v>
      </c>
      <c r="H18">
        <v>329</v>
      </c>
      <c r="I18">
        <v>323</v>
      </c>
      <c r="J18">
        <v>290</v>
      </c>
      <c r="K18">
        <v>290</v>
      </c>
      <c r="L18">
        <v>290</v>
      </c>
      <c r="M18">
        <v>290</v>
      </c>
      <c r="N18">
        <v>110</v>
      </c>
      <c r="O18">
        <v>103</v>
      </c>
      <c r="P18">
        <v>86</v>
      </c>
      <c r="Q18">
        <v>91</v>
      </c>
      <c r="R18">
        <f>153-12</f>
        <v>141</v>
      </c>
    </row>
    <row r="19" spans="1:27" x14ac:dyDescent="0.25">
      <c r="A19" t="s">
        <v>17</v>
      </c>
      <c r="I19">
        <v>396</v>
      </c>
      <c r="J19">
        <v>438</v>
      </c>
      <c r="K19">
        <v>442</v>
      </c>
      <c r="L19">
        <v>438</v>
      </c>
      <c r="M19">
        <v>438</v>
      </c>
      <c r="N19">
        <v>70</v>
      </c>
      <c r="O19">
        <v>75</v>
      </c>
      <c r="P19">
        <v>45</v>
      </c>
      <c r="Q19">
        <v>54</v>
      </c>
      <c r="R19">
        <f>277-169</f>
        <v>108</v>
      </c>
      <c r="S19">
        <f>282-169</f>
        <v>113</v>
      </c>
    </row>
    <row r="20" spans="1:27" x14ac:dyDescent="0.25">
      <c r="A20" t="s">
        <v>18</v>
      </c>
      <c r="J20">
        <v>434</v>
      </c>
      <c r="K20">
        <v>421</v>
      </c>
      <c r="L20">
        <v>432</v>
      </c>
      <c r="M20">
        <v>430</v>
      </c>
      <c r="N20">
        <v>219</v>
      </c>
      <c r="O20">
        <v>205</v>
      </c>
      <c r="P20">
        <v>191</v>
      </c>
      <c r="Q20">
        <v>200</v>
      </c>
      <c r="R20">
        <f>301-28</f>
        <v>273</v>
      </c>
      <c r="S20">
        <f>306-28</f>
        <v>278</v>
      </c>
      <c r="T20">
        <f>306-28</f>
        <v>278</v>
      </c>
    </row>
    <row r="21" spans="1:27" x14ac:dyDescent="0.25">
      <c r="A21" t="s">
        <v>19</v>
      </c>
      <c r="K21">
        <v>568</v>
      </c>
      <c r="L21">
        <v>605</v>
      </c>
      <c r="M21">
        <v>598</v>
      </c>
      <c r="N21">
        <v>340</v>
      </c>
      <c r="O21">
        <v>340</v>
      </c>
      <c r="P21">
        <v>317</v>
      </c>
      <c r="Q21">
        <v>324</v>
      </c>
      <c r="R21">
        <f>442-31</f>
        <v>411</v>
      </c>
      <c r="S21">
        <f>447-31</f>
        <v>416</v>
      </c>
      <c r="T21">
        <f>447-31</f>
        <v>416</v>
      </c>
      <c r="U21">
        <f>453-31</f>
        <v>422</v>
      </c>
    </row>
    <row r="22" spans="1:27" x14ac:dyDescent="0.25">
      <c r="A22" t="s">
        <v>20</v>
      </c>
      <c r="L22">
        <v>677</v>
      </c>
      <c r="M22">
        <v>580</v>
      </c>
      <c r="N22">
        <v>279</v>
      </c>
      <c r="O22">
        <v>275</v>
      </c>
      <c r="P22">
        <v>244</v>
      </c>
      <c r="Q22">
        <v>251</v>
      </c>
      <c r="R22">
        <f>436-52</f>
        <v>384</v>
      </c>
      <c r="S22">
        <f>441-52</f>
        <v>389</v>
      </c>
      <c r="T22">
        <f>441-52</f>
        <v>389</v>
      </c>
      <c r="U22">
        <f>445-52</f>
        <v>393</v>
      </c>
      <c r="V22">
        <f>445-52</f>
        <v>393</v>
      </c>
    </row>
    <row r="23" spans="1:27" x14ac:dyDescent="0.25">
      <c r="A23" t="s">
        <v>21</v>
      </c>
      <c r="M23">
        <v>840</v>
      </c>
      <c r="N23">
        <v>370</v>
      </c>
      <c r="O23">
        <v>377</v>
      </c>
      <c r="P23">
        <v>337</v>
      </c>
      <c r="Q23">
        <v>318</v>
      </c>
      <c r="R23">
        <f>567-100</f>
        <v>467</v>
      </c>
      <c r="S23">
        <f>573-100</f>
        <v>473</v>
      </c>
      <c r="T23">
        <f>573-100</f>
        <v>473</v>
      </c>
      <c r="U23">
        <f>575-100</f>
        <v>475</v>
      </c>
      <c r="V23">
        <f>575-100</f>
        <v>475</v>
      </c>
      <c r="W23">
        <f>575-100</f>
        <v>475</v>
      </c>
    </row>
    <row r="24" spans="1:27" x14ac:dyDescent="0.25">
      <c r="A24" t="s">
        <v>22</v>
      </c>
      <c r="N24">
        <v>335</v>
      </c>
      <c r="O24">
        <v>409</v>
      </c>
      <c r="P24">
        <v>370</v>
      </c>
      <c r="Q24">
        <v>326</v>
      </c>
      <c r="R24">
        <f>603-111</f>
        <v>492</v>
      </c>
      <c r="S24">
        <f>611-111</f>
        <v>500</v>
      </c>
      <c r="T24">
        <f>611-111</f>
        <v>500</v>
      </c>
      <c r="U24">
        <f>613-111</f>
        <v>502</v>
      </c>
      <c r="V24">
        <f>613-111</f>
        <v>502</v>
      </c>
      <c r="W24">
        <f>613-111</f>
        <v>502</v>
      </c>
      <c r="X24">
        <f>613-111</f>
        <v>502</v>
      </c>
    </row>
    <row r="25" spans="1:27" x14ac:dyDescent="0.25">
      <c r="A25" t="s">
        <v>23</v>
      </c>
      <c r="O25">
        <v>491</v>
      </c>
      <c r="P25">
        <v>386</v>
      </c>
      <c r="Q25">
        <v>291</v>
      </c>
      <c r="R25">
        <f>546-81</f>
        <v>465</v>
      </c>
      <c r="S25">
        <f>560-87</f>
        <v>473</v>
      </c>
      <c r="T25">
        <f>560-87</f>
        <v>473</v>
      </c>
      <c r="U25">
        <f>562-87</f>
        <v>475</v>
      </c>
      <c r="V25">
        <f>562-87</f>
        <v>475</v>
      </c>
      <c r="W25">
        <f>562-87</f>
        <v>475</v>
      </c>
      <c r="X25" s="12">
        <f>562-87</f>
        <v>475</v>
      </c>
      <c r="Y25">
        <f>562-87</f>
        <v>475</v>
      </c>
    </row>
    <row r="26" spans="1:27" x14ac:dyDescent="0.25">
      <c r="A26" t="s">
        <v>24</v>
      </c>
      <c r="P26">
        <v>633</v>
      </c>
      <c r="Q26">
        <v>467</v>
      </c>
      <c r="R26">
        <f>699-72</f>
        <v>627</v>
      </c>
      <c r="S26">
        <f>621-378</f>
        <v>243</v>
      </c>
      <c r="T26">
        <f>626-378</f>
        <v>248</v>
      </c>
      <c r="U26">
        <f>627-378</f>
        <v>249</v>
      </c>
      <c r="V26">
        <f>627-378</f>
        <v>249</v>
      </c>
      <c r="W26">
        <f>672-378</f>
        <v>294</v>
      </c>
      <c r="X26">
        <f>672-378</f>
        <v>294</v>
      </c>
      <c r="Y26">
        <f>627-378</f>
        <v>249</v>
      </c>
      <c r="Z26">
        <f>627-378</f>
        <v>249</v>
      </c>
    </row>
    <row r="27" spans="1:27" x14ac:dyDescent="0.25">
      <c r="A27" t="s">
        <v>25</v>
      </c>
      <c r="Q27">
        <v>401</v>
      </c>
      <c r="R27">
        <f>518-115</f>
        <v>403</v>
      </c>
      <c r="S27">
        <f>534-121</f>
        <v>413</v>
      </c>
      <c r="T27">
        <f>534-121</f>
        <v>413</v>
      </c>
      <c r="U27">
        <f t="shared" ref="U27:AA27" si="0">535-121</f>
        <v>414</v>
      </c>
      <c r="V27">
        <f t="shared" si="0"/>
        <v>414</v>
      </c>
      <c r="W27">
        <f t="shared" si="0"/>
        <v>414</v>
      </c>
      <c r="X27">
        <f t="shared" si="0"/>
        <v>414</v>
      </c>
      <c r="Y27">
        <f t="shared" si="0"/>
        <v>414</v>
      </c>
      <c r="Z27">
        <f t="shared" si="0"/>
        <v>414</v>
      </c>
      <c r="AA27">
        <f t="shared" si="0"/>
        <v>414</v>
      </c>
    </row>
    <row r="28" spans="1:27" x14ac:dyDescent="0.25">
      <c r="A28" t="s">
        <v>26</v>
      </c>
      <c r="R28">
        <f>583+92</f>
        <v>675</v>
      </c>
      <c r="S28">
        <f>687+24</f>
        <v>711</v>
      </c>
      <c r="T28">
        <f>687+24</f>
        <v>711</v>
      </c>
      <c r="U28">
        <f t="shared" ref="U28:AA28" si="1">686+24</f>
        <v>710</v>
      </c>
      <c r="V28">
        <f t="shared" si="1"/>
        <v>710</v>
      </c>
      <c r="W28">
        <f t="shared" si="1"/>
        <v>710</v>
      </c>
      <c r="X28">
        <f t="shared" si="1"/>
        <v>710</v>
      </c>
      <c r="Y28">
        <f t="shared" si="1"/>
        <v>710</v>
      </c>
      <c r="Z28">
        <f t="shared" si="1"/>
        <v>710</v>
      </c>
      <c r="AA28">
        <f t="shared" si="1"/>
        <v>710</v>
      </c>
    </row>
    <row r="29" spans="1:27" x14ac:dyDescent="0.25">
      <c r="A29" t="s">
        <v>27</v>
      </c>
      <c r="R29">
        <v>840</v>
      </c>
      <c r="S29">
        <f>908-20</f>
        <v>888</v>
      </c>
      <c r="T29">
        <f>971-65</f>
        <v>906</v>
      </c>
      <c r="U29">
        <f t="shared" ref="U29:AA29" si="2">970-65</f>
        <v>905</v>
      </c>
      <c r="V29">
        <f t="shared" si="2"/>
        <v>905</v>
      </c>
      <c r="W29">
        <f t="shared" si="2"/>
        <v>905</v>
      </c>
      <c r="X29">
        <f t="shared" si="2"/>
        <v>905</v>
      </c>
      <c r="Y29">
        <f t="shared" si="2"/>
        <v>905</v>
      </c>
      <c r="Z29">
        <f t="shared" si="2"/>
        <v>905</v>
      </c>
      <c r="AA29">
        <f t="shared" si="2"/>
        <v>905</v>
      </c>
    </row>
    <row r="30" spans="1:27" x14ac:dyDescent="0.25">
      <c r="A30" t="s">
        <v>28</v>
      </c>
      <c r="R30">
        <v>879</v>
      </c>
      <c r="S30">
        <f>941-171</f>
        <v>770</v>
      </c>
      <c r="T30">
        <f>1154-10</f>
        <v>1144</v>
      </c>
      <c r="U30">
        <f t="shared" ref="U30:AA30" si="3">1089+10</f>
        <v>1099</v>
      </c>
      <c r="V30">
        <f t="shared" si="3"/>
        <v>1099</v>
      </c>
      <c r="W30">
        <f t="shared" si="3"/>
        <v>1099</v>
      </c>
      <c r="X30">
        <f t="shared" si="3"/>
        <v>1099</v>
      </c>
      <c r="Y30">
        <f t="shared" si="3"/>
        <v>1099</v>
      </c>
      <c r="Z30">
        <f t="shared" si="3"/>
        <v>1099</v>
      </c>
      <c r="AA30">
        <f t="shared" si="3"/>
        <v>1099</v>
      </c>
    </row>
    <row r="31" spans="1:27" x14ac:dyDescent="0.25">
      <c r="A31" t="s">
        <v>29</v>
      </c>
      <c r="R31">
        <v>831</v>
      </c>
      <c r="S31">
        <f>658-26</f>
        <v>632</v>
      </c>
      <c r="T31">
        <f>792-81</f>
        <v>711</v>
      </c>
      <c r="U31">
        <f>1077-10</f>
        <v>1067</v>
      </c>
      <c r="V31">
        <f t="shared" ref="V31:AA31" si="4">778-71</f>
        <v>707</v>
      </c>
      <c r="W31">
        <f t="shared" si="4"/>
        <v>707</v>
      </c>
      <c r="X31">
        <f t="shared" si="4"/>
        <v>707</v>
      </c>
      <c r="Y31">
        <f t="shared" si="4"/>
        <v>707</v>
      </c>
      <c r="Z31">
        <f t="shared" si="4"/>
        <v>707</v>
      </c>
      <c r="AA31">
        <f t="shared" si="4"/>
        <v>707</v>
      </c>
    </row>
    <row r="32" spans="1:27" x14ac:dyDescent="0.25">
      <c r="A32" t="s">
        <v>30</v>
      </c>
      <c r="S32">
        <f>427-61</f>
        <v>366</v>
      </c>
      <c r="T32">
        <f>501-212</f>
        <v>289</v>
      </c>
      <c r="U32">
        <f>797-164</f>
        <v>633</v>
      </c>
      <c r="V32">
        <f>928-247</f>
        <v>681</v>
      </c>
      <c r="W32">
        <f>707-229</f>
        <v>478</v>
      </c>
      <c r="X32" s="12">
        <f>635-211</f>
        <v>424</v>
      </c>
      <c r="Y32">
        <f>634-197</f>
        <v>437</v>
      </c>
      <c r="Z32">
        <f>634-197</f>
        <v>437</v>
      </c>
      <c r="AA32">
        <f>634-197</f>
        <v>437</v>
      </c>
    </row>
    <row r="33" spans="1:45" x14ac:dyDescent="0.25">
      <c r="A33" t="s">
        <v>31</v>
      </c>
      <c r="T33">
        <f>458-9</f>
        <v>449</v>
      </c>
      <c r="U33">
        <f>591-30</f>
        <v>561</v>
      </c>
      <c r="V33">
        <f>711-34</f>
        <v>677</v>
      </c>
      <c r="W33">
        <f>829-116</f>
        <v>713</v>
      </c>
      <c r="X33" s="12">
        <f>710-67</f>
        <v>643</v>
      </c>
      <c r="Y33">
        <f>536-84</f>
        <v>452</v>
      </c>
      <c r="Z33">
        <f>536-84</f>
        <v>452</v>
      </c>
      <c r="AA33">
        <f>536-84</f>
        <v>452</v>
      </c>
    </row>
    <row r="34" spans="1:45" x14ac:dyDescent="0.25">
      <c r="A34" t="s">
        <v>32</v>
      </c>
      <c r="U34">
        <f>538-40</f>
        <v>498</v>
      </c>
      <c r="V34">
        <f>619-105</f>
        <v>514</v>
      </c>
      <c r="W34">
        <f>642-116</f>
        <v>526</v>
      </c>
      <c r="X34" s="12">
        <f>495-24</f>
        <v>471</v>
      </c>
      <c r="Y34">
        <f>662-37</f>
        <v>625</v>
      </c>
      <c r="Z34">
        <f>662-37</f>
        <v>625</v>
      </c>
      <c r="AA34">
        <f>662-37</f>
        <v>625</v>
      </c>
    </row>
    <row r="35" spans="1:45" x14ac:dyDescent="0.25">
      <c r="A35" t="s">
        <v>33</v>
      </c>
      <c r="V35">
        <f>569-25</f>
        <v>544</v>
      </c>
      <c r="W35">
        <f>580-66</f>
        <v>514</v>
      </c>
      <c r="X35" s="12">
        <f>628-6</f>
        <v>622</v>
      </c>
      <c r="Y35">
        <f>275+63</f>
        <v>338</v>
      </c>
      <c r="Z35">
        <f>159+25</f>
        <v>184</v>
      </c>
      <c r="AA35">
        <f>489+21</f>
        <v>510</v>
      </c>
    </row>
    <row r="36" spans="1:45" x14ac:dyDescent="0.25">
      <c r="A36" t="s">
        <v>34</v>
      </c>
      <c r="W36">
        <f>658-30</f>
        <v>628</v>
      </c>
      <c r="X36" s="12">
        <f>604-66</f>
        <v>538</v>
      </c>
      <c r="Y36">
        <f>128+23</f>
        <v>151</v>
      </c>
      <c r="Z36">
        <f>167-662</f>
        <v>-495</v>
      </c>
      <c r="AA36">
        <f>-399-176</f>
        <v>-575</v>
      </c>
    </row>
    <row r="37" spans="1:45" x14ac:dyDescent="0.25">
      <c r="A37" t="s">
        <v>35</v>
      </c>
      <c r="X37" s="12">
        <f>511-98</f>
        <v>413</v>
      </c>
      <c r="Y37">
        <f>577+62</f>
        <v>639</v>
      </c>
      <c r="Z37">
        <f>298+92</f>
        <v>390</v>
      </c>
      <c r="AA37">
        <f>165+84</f>
        <v>249</v>
      </c>
      <c r="AB37">
        <v>3878</v>
      </c>
    </row>
    <row r="38" spans="1:45" x14ac:dyDescent="0.25">
      <c r="A38" t="s">
        <v>36</v>
      </c>
      <c r="Y38">
        <f>148+62</f>
        <v>210</v>
      </c>
      <c r="Z38">
        <f>556+63</f>
        <v>619</v>
      </c>
      <c r="AA38">
        <f>506+61</f>
        <v>567</v>
      </c>
      <c r="AB38">
        <v>4179</v>
      </c>
      <c r="AC38">
        <v>3498</v>
      </c>
    </row>
    <row r="39" spans="1:45" x14ac:dyDescent="0.25">
      <c r="A39" t="s">
        <v>37</v>
      </c>
      <c r="Z39">
        <f>744-9</f>
        <v>735</v>
      </c>
      <c r="AA39">
        <f>683+77</f>
        <v>760</v>
      </c>
      <c r="AB39">
        <v>4113</v>
      </c>
      <c r="AC39">
        <v>3352</v>
      </c>
      <c r="AD39">
        <v>960</v>
      </c>
    </row>
    <row r="40" spans="1:45" x14ac:dyDescent="0.25">
      <c r="A40" t="s">
        <v>38</v>
      </c>
      <c r="AA40">
        <f>831+61</f>
        <v>892</v>
      </c>
      <c r="AB40">
        <v>4356</v>
      </c>
      <c r="AC40">
        <v>3846</v>
      </c>
      <c r="AD40">
        <v>231</v>
      </c>
      <c r="AE40">
        <v>1532</v>
      </c>
    </row>
    <row r="41" spans="1:45" x14ac:dyDescent="0.25">
      <c r="A41" t="s">
        <v>39</v>
      </c>
      <c r="AB41">
        <v>4414</v>
      </c>
      <c r="AC41">
        <v>3854</v>
      </c>
      <c r="AD41">
        <v>1251</v>
      </c>
      <c r="AE41">
        <v>1234</v>
      </c>
      <c r="AF41">
        <f>2682-1304</f>
        <v>1378</v>
      </c>
    </row>
    <row r="42" spans="1:45" x14ac:dyDescent="0.25">
      <c r="A42" t="s">
        <v>40</v>
      </c>
      <c r="AC42">
        <v>4099</v>
      </c>
      <c r="AD42">
        <v>1298</v>
      </c>
      <c r="AE42">
        <v>1540</v>
      </c>
      <c r="AF42">
        <f>2542-852</f>
        <v>1690</v>
      </c>
      <c r="AG42">
        <f>2618-879</f>
        <v>1739</v>
      </c>
    </row>
    <row r="43" spans="1:45" x14ac:dyDescent="0.25">
      <c r="A43" t="s">
        <v>41</v>
      </c>
      <c r="AD43">
        <v>1169</v>
      </c>
      <c r="AE43">
        <v>1499</v>
      </c>
      <c r="AF43">
        <f>2383-760</f>
        <v>1623</v>
      </c>
      <c r="AG43">
        <f>2856-727</f>
        <v>2129</v>
      </c>
      <c r="AH43">
        <f>2487-364</f>
        <v>2123</v>
      </c>
    </row>
    <row r="44" spans="1:45" x14ac:dyDescent="0.25">
      <c r="A44" t="s">
        <v>42</v>
      </c>
      <c r="AE44">
        <v>1708</v>
      </c>
      <c r="AF44" s="1">
        <f>2237-422</f>
        <v>1815</v>
      </c>
      <c r="AG44" s="1">
        <f>2705-642</f>
        <v>2063</v>
      </c>
      <c r="AH44" s="1">
        <f>2920-285</f>
        <v>2635</v>
      </c>
      <c r="AI44" s="1">
        <f>2860-203</f>
        <v>2657</v>
      </c>
      <c r="AJ44" s="1"/>
      <c r="AK44" s="1"/>
      <c r="AL44" s="1"/>
      <c r="AM44" s="1"/>
      <c r="AN44" s="1"/>
      <c r="AO44" s="1"/>
      <c r="AP44" s="1"/>
      <c r="AQ44" s="1"/>
      <c r="AR44" s="1"/>
      <c r="AS44" s="1"/>
    </row>
    <row r="45" spans="1:45" x14ac:dyDescent="0.25">
      <c r="A45" t="s">
        <v>43</v>
      </c>
      <c r="AF45" s="1">
        <f>2060-440</f>
        <v>1620</v>
      </c>
      <c r="AG45" s="1">
        <f>2549-484</f>
        <v>2065</v>
      </c>
      <c r="AH45" s="1">
        <f>2392-174</f>
        <v>2218</v>
      </c>
      <c r="AI45" s="1">
        <f>3317-152</f>
        <v>3165</v>
      </c>
      <c r="AJ45" s="1">
        <f>3675-184</f>
        <v>3491</v>
      </c>
      <c r="AK45" s="1"/>
      <c r="AL45" s="1"/>
      <c r="AM45" s="1"/>
      <c r="AN45" s="1"/>
      <c r="AO45" s="1"/>
      <c r="AP45" s="1"/>
      <c r="AQ45" s="1"/>
      <c r="AR45" s="1"/>
      <c r="AS45" s="1"/>
    </row>
    <row r="46" spans="1:45" x14ac:dyDescent="0.25">
      <c r="A46" t="s">
        <v>44</v>
      </c>
      <c r="AF46" s="1"/>
      <c r="AG46" s="1">
        <f>2363-484</f>
        <v>1879</v>
      </c>
      <c r="AH46" s="1">
        <f>2429-250</f>
        <v>2179</v>
      </c>
      <c r="AI46" s="1">
        <f>2679-233</f>
        <v>2446</v>
      </c>
      <c r="AJ46" s="1">
        <f>3689-199</f>
        <v>3490</v>
      </c>
      <c r="AK46" s="1">
        <f>7214-253</f>
        <v>6961</v>
      </c>
      <c r="AL46" s="1"/>
      <c r="AM46" s="1"/>
      <c r="AN46" s="1"/>
      <c r="AO46" s="1"/>
      <c r="AP46" s="1"/>
      <c r="AQ46" s="1"/>
      <c r="AR46" s="1"/>
      <c r="AS46" s="1"/>
    </row>
    <row r="47" spans="1:45" x14ac:dyDescent="0.25">
      <c r="A47" t="s">
        <v>45</v>
      </c>
      <c r="AF47" s="1"/>
      <c r="AG47" s="1"/>
      <c r="AH47" s="1">
        <f>2104-188</f>
        <v>1916</v>
      </c>
      <c r="AI47" s="1">
        <f>3012-155</f>
        <v>2857</v>
      </c>
      <c r="AJ47" s="1">
        <f>3864-216</f>
        <v>3648</v>
      </c>
      <c r="AK47" s="1">
        <f>9212-470</f>
        <v>8742</v>
      </c>
      <c r="AL47" s="1">
        <f>9910-516</f>
        <v>9394</v>
      </c>
      <c r="AM47" s="1"/>
      <c r="AN47" s="1"/>
      <c r="AO47" s="1"/>
      <c r="AP47" s="1"/>
      <c r="AQ47" s="1"/>
      <c r="AR47" s="1"/>
      <c r="AS47" s="1"/>
    </row>
    <row r="48" spans="1:45" x14ac:dyDescent="0.25">
      <c r="A48" t="s">
        <v>46</v>
      </c>
      <c r="AF48" s="1"/>
      <c r="AG48" s="1"/>
      <c r="AH48" s="1"/>
      <c r="AI48" s="1">
        <f>2648-122</f>
        <v>2526</v>
      </c>
      <c r="AJ48" s="1">
        <f>3328-109</f>
        <v>3219</v>
      </c>
      <c r="AK48" s="1">
        <f>9374-278</f>
        <v>9096</v>
      </c>
      <c r="AL48" s="1">
        <f>11305-619</f>
        <v>10686</v>
      </c>
      <c r="AM48" s="1">
        <f>10838-269</f>
        <v>10569</v>
      </c>
      <c r="AN48" s="1"/>
      <c r="AO48" s="1"/>
      <c r="AP48" s="1"/>
      <c r="AQ48" s="1"/>
      <c r="AR48" s="1"/>
      <c r="AS48" s="1"/>
    </row>
    <row r="49" spans="1:45" x14ac:dyDescent="0.25">
      <c r="A49" t="s">
        <v>47</v>
      </c>
      <c r="AF49" s="1"/>
      <c r="AG49" s="1"/>
      <c r="AH49" s="1"/>
      <c r="AI49" s="1"/>
      <c r="AJ49" s="1">
        <f>3537-109</f>
        <v>3428</v>
      </c>
      <c r="AK49" s="1">
        <f>9836-337</f>
        <v>9499</v>
      </c>
      <c r="AL49" s="1">
        <f>11639-258</f>
        <v>11381</v>
      </c>
      <c r="AM49" s="1">
        <f>11600-399</f>
        <v>11201</v>
      </c>
      <c r="AN49" s="1">
        <f>10555-383</f>
        <v>10172</v>
      </c>
      <c r="AO49" s="1"/>
      <c r="AP49" s="1"/>
      <c r="AQ49" s="1"/>
      <c r="AR49" s="1"/>
      <c r="AS49" s="1"/>
    </row>
    <row r="50" spans="1:45" x14ac:dyDescent="0.25">
      <c r="A50" t="s">
        <v>48</v>
      </c>
      <c r="AF50" s="1"/>
      <c r="AG50" s="1"/>
      <c r="AH50" s="1"/>
      <c r="AI50" s="1"/>
      <c r="AJ50" s="1"/>
      <c r="AK50" s="1">
        <f>10134-198</f>
        <v>9936</v>
      </c>
      <c r="AL50" s="1">
        <f>11300-154</f>
        <v>11146</v>
      </c>
      <c r="AM50" s="1">
        <f>10030-1048</f>
        <v>8982</v>
      </c>
      <c r="AN50" s="1">
        <f>10561-1361</f>
        <v>9200</v>
      </c>
      <c r="AO50" s="1">
        <f>10304-589</f>
        <v>9715</v>
      </c>
      <c r="AP50" s="1"/>
      <c r="AQ50" s="1"/>
      <c r="AR50" s="1"/>
      <c r="AS50" s="1"/>
    </row>
    <row r="51" spans="1:45" x14ac:dyDescent="0.25">
      <c r="A51" t="s">
        <v>49</v>
      </c>
      <c r="AF51" s="1"/>
      <c r="AG51" s="1"/>
      <c r="AH51" s="1"/>
      <c r="AI51" s="1"/>
      <c r="AJ51" s="1"/>
      <c r="AK51" s="1"/>
      <c r="AL51" s="1">
        <f>10163-161</f>
        <v>10002</v>
      </c>
      <c r="AM51" s="1">
        <f>9094-4705</f>
        <v>4389</v>
      </c>
      <c r="AN51" s="1">
        <f>9167-4937</f>
        <v>4230</v>
      </c>
      <c r="AO51" s="1">
        <f>8040-4872</f>
        <v>3168</v>
      </c>
      <c r="AP51" s="1">
        <f>7528-3661</f>
        <v>3867</v>
      </c>
      <c r="AQ51" s="1"/>
      <c r="AR51" s="1"/>
      <c r="AS51" s="1"/>
    </row>
    <row r="52" spans="1:45" x14ac:dyDescent="0.25">
      <c r="A52" t="s">
        <v>50</v>
      </c>
      <c r="AF52" s="1"/>
      <c r="AG52" s="1"/>
      <c r="AH52" s="1"/>
      <c r="AI52" s="1"/>
      <c r="AJ52" s="1"/>
      <c r="AK52" s="1"/>
      <c r="AL52" s="1"/>
      <c r="AM52" s="1">
        <f>8728-453</f>
        <v>8275</v>
      </c>
      <c r="AN52" s="1">
        <f>8897-352</f>
        <v>8545</v>
      </c>
      <c r="AO52" s="1">
        <f>7051-459</f>
        <v>6592</v>
      </c>
      <c r="AP52" s="1">
        <f>8755-346</f>
        <v>8409</v>
      </c>
      <c r="AQ52" s="1">
        <f>10240-273</f>
        <v>9967</v>
      </c>
      <c r="AR52" s="1"/>
      <c r="AS52" s="1"/>
    </row>
    <row r="53" spans="1:45" x14ac:dyDescent="0.25">
      <c r="A53" t="s">
        <v>51</v>
      </c>
      <c r="AF53" s="1"/>
      <c r="AG53" s="1"/>
      <c r="AH53" s="1"/>
      <c r="AI53" s="1"/>
      <c r="AJ53" s="1"/>
      <c r="AK53" s="1"/>
      <c r="AL53" s="1"/>
      <c r="AM53" s="1"/>
      <c r="AN53" s="1">
        <f>9294-179</f>
        <v>9115</v>
      </c>
      <c r="AO53" s="1">
        <f>7363-244</f>
        <v>7119</v>
      </c>
      <c r="AP53" s="1">
        <f>8613-1156</f>
        <v>7457</v>
      </c>
      <c r="AQ53" s="1">
        <f>10679-2370</f>
        <v>8309</v>
      </c>
      <c r="AR53" s="1">
        <f>11622-2348</f>
        <v>9274</v>
      </c>
      <c r="AS53" s="1"/>
    </row>
    <row r="54" spans="1:45" x14ac:dyDescent="0.25">
      <c r="A54" t="s">
        <v>52</v>
      </c>
      <c r="AF54" s="1"/>
      <c r="AG54" s="1"/>
      <c r="AH54" s="1"/>
      <c r="AI54" s="1"/>
      <c r="AJ54" s="1"/>
      <c r="AK54" s="1"/>
      <c r="AL54" s="1"/>
      <c r="AM54" s="1"/>
      <c r="AN54" s="1"/>
      <c r="AO54" s="1">
        <f>9579-1588</f>
        <v>7991</v>
      </c>
      <c r="AP54" s="1">
        <f>9908-1686</f>
        <v>8222</v>
      </c>
      <c r="AQ54" s="1">
        <f>10215-2767</f>
        <v>7448</v>
      </c>
      <c r="AR54" s="1">
        <f>11408-491</f>
        <v>10917</v>
      </c>
      <c r="AS54" s="1"/>
    </row>
    <row r="55" spans="1:45" x14ac:dyDescent="0.25">
      <c r="A55" t="s">
        <v>53</v>
      </c>
      <c r="AF55" s="1"/>
      <c r="AG55" s="1"/>
      <c r="AH55" s="1"/>
      <c r="AI55" s="1"/>
      <c r="AJ55" s="1"/>
      <c r="AK55" s="1"/>
      <c r="AL55" s="1"/>
      <c r="AM55" s="1"/>
      <c r="AN55" s="1"/>
      <c r="AO55" s="1"/>
      <c r="AP55" s="1">
        <f>9411-220</f>
        <v>9191</v>
      </c>
      <c r="AQ55" s="1">
        <f>9626-215</f>
        <v>9411</v>
      </c>
      <c r="AR55" s="1">
        <f>11612-26</f>
        <v>11586</v>
      </c>
      <c r="AS55" s="1"/>
    </row>
    <row r="56" spans="1:45" x14ac:dyDescent="0.25">
      <c r="A56" t="s">
        <v>54</v>
      </c>
      <c r="AF56" s="1"/>
      <c r="AG56" s="1"/>
      <c r="AH56" s="1"/>
      <c r="AI56" s="1"/>
      <c r="AJ56" s="1"/>
      <c r="AK56" s="1"/>
      <c r="AL56" s="1"/>
      <c r="AM56" s="1"/>
      <c r="AN56" s="1"/>
      <c r="AO56" s="1"/>
      <c r="AP56" s="1"/>
      <c r="AQ56" s="1">
        <f>11094-214</f>
        <v>10880</v>
      </c>
      <c r="AR56" s="1">
        <f>12606-1709</f>
        <v>10897</v>
      </c>
      <c r="AS56" s="1"/>
    </row>
    <row r="57" spans="1:45" x14ac:dyDescent="0.25">
      <c r="A57" t="s">
        <v>132</v>
      </c>
      <c r="AF57" s="1"/>
      <c r="AG57" s="1"/>
      <c r="AH57" s="1"/>
      <c r="AI57" s="1"/>
      <c r="AJ57" s="1"/>
      <c r="AK57" s="1"/>
      <c r="AL57" s="1"/>
      <c r="AM57" s="1"/>
      <c r="AN57" s="1"/>
      <c r="AO57" s="1"/>
      <c r="AP57" s="1"/>
      <c r="AQ57" s="1"/>
      <c r="AR57" s="1">
        <f>13859-828</f>
        <v>13031</v>
      </c>
      <c r="AS57" s="1"/>
    </row>
    <row r="58" spans="1:45" x14ac:dyDescent="0.25">
      <c r="AF58" s="1"/>
      <c r="AG58" s="1"/>
      <c r="AH58" s="1"/>
      <c r="AI58" s="1"/>
      <c r="AJ58" s="1"/>
      <c r="AK58" s="1"/>
      <c r="AL58" s="1"/>
      <c r="AM58" s="1"/>
      <c r="AN58" s="1"/>
      <c r="AO58" s="1"/>
      <c r="AP58" s="1"/>
      <c r="AQ58" s="1"/>
      <c r="AR58" s="1"/>
      <c r="AS58" s="1"/>
    </row>
    <row r="59" spans="1:45" x14ac:dyDescent="0.25">
      <c r="AF59" s="1"/>
      <c r="AG59" s="1"/>
      <c r="AH59" s="1"/>
      <c r="AI59" s="1"/>
      <c r="AJ59" s="1"/>
      <c r="AK59" s="1"/>
      <c r="AL59" s="1"/>
      <c r="AM59" s="1"/>
      <c r="AN59" s="1"/>
      <c r="AO59" s="1"/>
      <c r="AP59" s="1"/>
      <c r="AQ59" s="1"/>
      <c r="AR59" s="1"/>
      <c r="AS59" s="1"/>
    </row>
    <row r="60" spans="1:45" x14ac:dyDescent="0.25">
      <c r="AF60" s="1"/>
      <c r="AG60" s="1"/>
      <c r="AH60" s="1"/>
      <c r="AI60" s="1"/>
      <c r="AJ60" s="1"/>
      <c r="AK60" s="1"/>
      <c r="AL60" s="1"/>
      <c r="AM60" s="1"/>
      <c r="AN60" s="1"/>
      <c r="AO60" s="1"/>
      <c r="AP60" s="1"/>
      <c r="AQ60" s="1"/>
      <c r="AR60" s="1"/>
      <c r="AS60" s="1"/>
    </row>
    <row r="61" spans="1:45" x14ac:dyDescent="0.25">
      <c r="AF61" s="1"/>
      <c r="AG61" s="1"/>
      <c r="AH61" s="1"/>
      <c r="AI61" s="1"/>
      <c r="AJ61" s="1"/>
      <c r="AK61" s="1"/>
      <c r="AL61" s="1"/>
      <c r="AM61" s="1"/>
      <c r="AN61" s="1"/>
      <c r="AO61" s="1"/>
      <c r="AP61" s="1"/>
      <c r="AQ61" s="1"/>
      <c r="AR61" s="1"/>
      <c r="AS61" s="1"/>
    </row>
    <row r="62" spans="1:45" x14ac:dyDescent="0.25">
      <c r="AF62" s="1"/>
      <c r="AG62" s="1"/>
      <c r="AH62" s="1"/>
      <c r="AI62" s="1"/>
      <c r="AJ62" s="1"/>
      <c r="AK62" s="1"/>
      <c r="AL62" s="1"/>
      <c r="AM62" s="1"/>
      <c r="AN62" s="1"/>
      <c r="AO62" s="1"/>
      <c r="AP62" s="1"/>
      <c r="AQ62" s="1"/>
      <c r="AR62" s="1"/>
      <c r="AS62" s="1"/>
    </row>
    <row r="63" spans="1:45" x14ac:dyDescent="0.25">
      <c r="AF63" s="1"/>
      <c r="AG63" s="1"/>
      <c r="AH63" s="1"/>
      <c r="AI63" s="1"/>
      <c r="AJ63" s="1"/>
      <c r="AK63" s="1"/>
      <c r="AL63" s="1"/>
      <c r="AM63" s="1"/>
      <c r="AN63" s="1"/>
      <c r="AO63" s="1"/>
      <c r="AP63" s="1"/>
      <c r="AQ63" s="1"/>
      <c r="AR63" s="1"/>
      <c r="AS63" s="1"/>
    </row>
    <row r="64" spans="1:45" x14ac:dyDescent="0.25">
      <c r="AF64" s="1"/>
      <c r="AG64" s="1"/>
      <c r="AH64" s="1"/>
      <c r="AI64" s="1"/>
      <c r="AJ64" s="1"/>
      <c r="AK64" s="1"/>
      <c r="AL64" s="1"/>
      <c r="AM64" s="1"/>
      <c r="AN64" s="1"/>
      <c r="AO64" s="1"/>
      <c r="AP64" s="1"/>
      <c r="AQ64" s="1"/>
      <c r="AR64" s="1"/>
      <c r="AS64"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0"/>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7.7109375" bestFit="1" customWidth="1"/>
    <col min="2" max="23" width="9.85546875" bestFit="1" customWidth="1"/>
    <col min="24" max="24" width="11" style="12" bestFit="1" customWidth="1"/>
    <col min="25" max="44" width="9.85546875" bestFit="1" customWidth="1"/>
  </cols>
  <sheetData>
    <row r="1" spans="1:44" x14ac:dyDescent="0.25">
      <c r="B1" t="s">
        <v>133</v>
      </c>
      <c r="C1" t="s">
        <v>134</v>
      </c>
      <c r="D1" t="s">
        <v>135</v>
      </c>
      <c r="E1" t="s">
        <v>136</v>
      </c>
      <c r="F1" t="s">
        <v>137</v>
      </c>
      <c r="G1" t="s">
        <v>138</v>
      </c>
      <c r="H1" t="s">
        <v>139</v>
      </c>
      <c r="I1" t="s">
        <v>140</v>
      </c>
      <c r="J1" t="s">
        <v>141</v>
      </c>
      <c r="K1" t="s">
        <v>142</v>
      </c>
      <c r="L1" t="s">
        <v>143</v>
      </c>
      <c r="M1" t="s">
        <v>144</v>
      </c>
      <c r="N1" t="s">
        <v>145</v>
      </c>
      <c r="O1" t="s">
        <v>146</v>
      </c>
      <c r="P1" t="s">
        <v>147</v>
      </c>
      <c r="Q1" t="s">
        <v>148</v>
      </c>
      <c r="R1" t="s">
        <v>149</v>
      </c>
      <c r="S1" t="s">
        <v>150</v>
      </c>
      <c r="T1" t="s">
        <v>151</v>
      </c>
      <c r="U1" t="s">
        <v>152</v>
      </c>
      <c r="V1" t="s">
        <v>153</v>
      </c>
      <c r="W1" t="s">
        <v>154</v>
      </c>
      <c r="X1" s="12" t="s">
        <v>155</v>
      </c>
      <c r="Y1" t="s">
        <v>156</v>
      </c>
      <c r="Z1" t="s">
        <v>157</v>
      </c>
      <c r="AA1" t="s">
        <v>158</v>
      </c>
      <c r="AB1" t="s">
        <v>159</v>
      </c>
      <c r="AC1" t="s">
        <v>160</v>
      </c>
      <c r="AD1" t="s">
        <v>161</v>
      </c>
      <c r="AE1" t="s">
        <v>162</v>
      </c>
      <c r="AF1" t="s">
        <v>163</v>
      </c>
      <c r="AG1" t="s">
        <v>164</v>
      </c>
      <c r="AH1" t="s">
        <v>165</v>
      </c>
      <c r="AI1" t="s">
        <v>166</v>
      </c>
      <c r="AJ1" t="s">
        <v>167</v>
      </c>
      <c r="AK1" t="s">
        <v>168</v>
      </c>
      <c r="AL1" t="s">
        <v>169</v>
      </c>
      <c r="AM1" t="s">
        <v>170</v>
      </c>
      <c r="AN1" t="s">
        <v>171</v>
      </c>
      <c r="AO1" t="s">
        <v>172</v>
      </c>
      <c r="AP1" t="s">
        <v>173</v>
      </c>
      <c r="AQ1" t="s">
        <v>174</v>
      </c>
      <c r="AR1" t="s">
        <v>175</v>
      </c>
    </row>
    <row r="2" spans="1:44" x14ac:dyDescent="0.25">
      <c r="A2" t="s">
        <v>0</v>
      </c>
      <c r="B2">
        <v>2493</v>
      </c>
    </row>
    <row r="3" spans="1:44" x14ac:dyDescent="0.25">
      <c r="A3" t="s">
        <v>1</v>
      </c>
      <c r="B3">
        <v>2663</v>
      </c>
      <c r="C3">
        <v>2633</v>
      </c>
    </row>
    <row r="4" spans="1:44" x14ac:dyDescent="0.25">
      <c r="A4" t="s">
        <v>2</v>
      </c>
      <c r="B4">
        <v>2962</v>
      </c>
      <c r="C4">
        <v>2963</v>
      </c>
      <c r="D4">
        <v>2964</v>
      </c>
    </row>
    <row r="5" spans="1:44" x14ac:dyDescent="0.25">
      <c r="A5" t="s">
        <v>3</v>
      </c>
      <c r="B5">
        <v>3230</v>
      </c>
      <c r="C5">
        <v>3230</v>
      </c>
      <c r="D5">
        <v>3231</v>
      </c>
      <c r="E5">
        <v>3221</v>
      </c>
    </row>
    <row r="6" spans="1:44" x14ac:dyDescent="0.25">
      <c r="A6" t="s">
        <v>4</v>
      </c>
      <c r="B6">
        <v>3479</v>
      </c>
      <c r="C6">
        <v>3478</v>
      </c>
      <c r="D6">
        <v>3478</v>
      </c>
      <c r="E6">
        <v>3468</v>
      </c>
      <c r="F6">
        <v>3469</v>
      </c>
    </row>
    <row r="7" spans="1:44" x14ac:dyDescent="0.25">
      <c r="A7" t="s">
        <v>5</v>
      </c>
      <c r="B7">
        <v>3796</v>
      </c>
      <c r="C7">
        <v>3797</v>
      </c>
      <c r="D7">
        <v>3798</v>
      </c>
      <c r="E7">
        <v>3790</v>
      </c>
      <c r="F7">
        <v>3792</v>
      </c>
      <c r="G7">
        <v>3792</v>
      </c>
    </row>
    <row r="8" spans="1:44" x14ac:dyDescent="0.25">
      <c r="A8" t="s">
        <v>6</v>
      </c>
      <c r="B8">
        <v>4231</v>
      </c>
      <c r="C8">
        <v>4233</v>
      </c>
      <c r="D8">
        <v>4235</v>
      </c>
      <c r="E8">
        <v>4226</v>
      </c>
      <c r="F8">
        <v>4228</v>
      </c>
      <c r="G8">
        <v>4228</v>
      </c>
      <c r="H8">
        <v>4228</v>
      </c>
    </row>
    <row r="9" spans="1:44" x14ac:dyDescent="0.25">
      <c r="A9" t="s">
        <v>7</v>
      </c>
      <c r="B9">
        <v>5093</v>
      </c>
      <c r="C9">
        <v>5094</v>
      </c>
      <c r="D9">
        <v>5096</v>
      </c>
      <c r="E9">
        <v>5085</v>
      </c>
      <c r="F9">
        <v>5088</v>
      </c>
      <c r="G9">
        <v>5088</v>
      </c>
      <c r="H9">
        <v>5088</v>
      </c>
      <c r="I9">
        <v>5088</v>
      </c>
    </row>
    <row r="10" spans="1:44" x14ac:dyDescent="0.25">
      <c r="A10" t="s">
        <v>8</v>
      </c>
      <c r="B10">
        <v>5705</v>
      </c>
      <c r="C10">
        <v>5709</v>
      </c>
      <c r="D10">
        <v>5710</v>
      </c>
      <c r="E10">
        <v>5697</v>
      </c>
      <c r="F10">
        <v>5700</v>
      </c>
      <c r="G10">
        <v>5700</v>
      </c>
      <c r="H10">
        <v>5700</v>
      </c>
      <c r="I10">
        <v>5700</v>
      </c>
      <c r="J10">
        <v>5700</v>
      </c>
    </row>
    <row r="11" spans="1:44" x14ac:dyDescent="0.25">
      <c r="A11" t="s">
        <v>9</v>
      </c>
      <c r="B11">
        <v>6672</v>
      </c>
      <c r="C11">
        <v>6633</v>
      </c>
      <c r="D11">
        <v>6633</v>
      </c>
      <c r="E11">
        <v>6623</v>
      </c>
      <c r="F11">
        <v>6628</v>
      </c>
      <c r="G11">
        <v>6628</v>
      </c>
      <c r="H11">
        <v>6628</v>
      </c>
      <c r="I11">
        <v>6628</v>
      </c>
      <c r="J11">
        <v>6628</v>
      </c>
      <c r="K11">
        <v>6628</v>
      </c>
      <c r="P11">
        <f>6087+828</f>
        <v>6915</v>
      </c>
    </row>
    <row r="12" spans="1:44" x14ac:dyDescent="0.25">
      <c r="A12" t="s">
        <v>10</v>
      </c>
      <c r="B12">
        <v>7843</v>
      </c>
      <c r="C12">
        <v>7961</v>
      </c>
      <c r="D12">
        <v>7965</v>
      </c>
      <c r="E12">
        <v>7950</v>
      </c>
      <c r="F12">
        <v>7957</v>
      </c>
      <c r="G12">
        <v>7954</v>
      </c>
      <c r="H12">
        <v>7954</v>
      </c>
      <c r="I12">
        <v>7954</v>
      </c>
      <c r="J12">
        <v>7954</v>
      </c>
      <c r="K12">
        <v>7954</v>
      </c>
      <c r="L12">
        <v>7926</v>
      </c>
      <c r="P12">
        <f>7250+1070</f>
        <v>8320</v>
      </c>
    </row>
    <row r="13" spans="1:44" x14ac:dyDescent="0.25">
      <c r="A13" t="s">
        <v>11</v>
      </c>
      <c r="C13">
        <v>10544</v>
      </c>
      <c r="D13">
        <v>11296</v>
      </c>
      <c r="E13">
        <v>11274</v>
      </c>
      <c r="F13">
        <v>11298</v>
      </c>
      <c r="G13">
        <v>11293</v>
      </c>
      <c r="H13">
        <v>11293</v>
      </c>
      <c r="I13">
        <v>11293</v>
      </c>
      <c r="J13">
        <v>11293</v>
      </c>
      <c r="K13">
        <v>11293</v>
      </c>
      <c r="L13">
        <v>11180</v>
      </c>
      <c r="M13">
        <v>11265</v>
      </c>
      <c r="P13">
        <f>10186+1582</f>
        <v>11768</v>
      </c>
    </row>
    <row r="14" spans="1:44" x14ac:dyDescent="0.25">
      <c r="A14" t="s">
        <v>12</v>
      </c>
      <c r="D14">
        <v>14697</v>
      </c>
      <c r="E14">
        <v>15082</v>
      </c>
      <c r="F14">
        <v>15084</v>
      </c>
      <c r="G14">
        <v>15077</v>
      </c>
      <c r="H14">
        <v>15077</v>
      </c>
      <c r="I14">
        <v>15077</v>
      </c>
      <c r="J14">
        <v>15077</v>
      </c>
      <c r="K14">
        <v>15078</v>
      </c>
      <c r="L14">
        <v>15064</v>
      </c>
      <c r="M14">
        <v>15036</v>
      </c>
      <c r="N14">
        <f>14032+1870</f>
        <v>15902</v>
      </c>
      <c r="P14">
        <f>13981+1859</f>
        <v>15840</v>
      </c>
    </row>
    <row r="15" spans="1:44" x14ac:dyDescent="0.25">
      <c r="A15" t="s">
        <v>13</v>
      </c>
      <c r="E15">
        <v>17458</v>
      </c>
      <c r="F15">
        <v>17298</v>
      </c>
      <c r="G15">
        <v>17307</v>
      </c>
      <c r="H15">
        <v>17307</v>
      </c>
      <c r="I15">
        <v>17307</v>
      </c>
      <c r="J15">
        <v>17307</v>
      </c>
      <c r="K15">
        <v>17316</v>
      </c>
      <c r="L15">
        <v>17328</v>
      </c>
      <c r="M15">
        <v>17274</v>
      </c>
      <c r="N15">
        <f>16331+1783</f>
        <v>18114</v>
      </c>
      <c r="O15">
        <f>16309+1819</f>
        <v>18128</v>
      </c>
      <c r="P15">
        <f>16332+1799</f>
        <v>18131</v>
      </c>
    </row>
    <row r="16" spans="1:44" x14ac:dyDescent="0.25">
      <c r="A16" t="s">
        <v>14</v>
      </c>
      <c r="F16">
        <v>19514</v>
      </c>
      <c r="G16">
        <v>19741</v>
      </c>
      <c r="H16">
        <v>19735</v>
      </c>
      <c r="I16">
        <v>19735</v>
      </c>
      <c r="J16">
        <v>19735</v>
      </c>
      <c r="K16">
        <v>19788</v>
      </c>
      <c r="L16">
        <v>19851</v>
      </c>
      <c r="M16">
        <v>19752</v>
      </c>
      <c r="N16">
        <f>18786+1817</f>
        <v>20603</v>
      </c>
      <c r="O16">
        <f>18745+1802</f>
        <v>20547</v>
      </c>
      <c r="P16">
        <f>18795+1818</f>
        <v>20613</v>
      </c>
    </row>
    <row r="17" spans="1:27" x14ac:dyDescent="0.25">
      <c r="A17" t="s">
        <v>15</v>
      </c>
      <c r="G17">
        <v>21686</v>
      </c>
      <c r="H17">
        <v>21856</v>
      </c>
      <c r="I17">
        <v>21856</v>
      </c>
      <c r="J17">
        <v>21856</v>
      </c>
      <c r="K17">
        <v>21940</v>
      </c>
      <c r="L17">
        <v>22006</v>
      </c>
      <c r="M17">
        <v>21902</v>
      </c>
      <c r="N17">
        <f>20940+1758</f>
        <v>22698</v>
      </c>
      <c r="O17">
        <f>20979+1069</f>
        <v>22048</v>
      </c>
      <c r="P17">
        <f>21041+1773</f>
        <v>22814</v>
      </c>
      <c r="Q17">
        <f>20564+1610</f>
        <v>22174</v>
      </c>
    </row>
    <row r="18" spans="1:27" x14ac:dyDescent="0.25">
      <c r="A18" t="s">
        <v>16</v>
      </c>
      <c r="H18">
        <v>24289</v>
      </c>
      <c r="I18">
        <v>24235</v>
      </c>
      <c r="J18">
        <v>24264</v>
      </c>
      <c r="K18">
        <v>24269</v>
      </c>
      <c r="L18">
        <v>24373</v>
      </c>
      <c r="M18">
        <v>24242</v>
      </c>
      <c r="N18">
        <f>23243+1889</f>
        <v>25132</v>
      </c>
      <c r="O18">
        <f>23262+1776</f>
        <v>25038</v>
      </c>
      <c r="P18">
        <f>23329+1871</f>
        <v>25200</v>
      </c>
      <c r="Q18">
        <f>22928+1711</f>
        <v>24639</v>
      </c>
      <c r="R18">
        <f>23581+1910</f>
        <v>25491</v>
      </c>
    </row>
    <row r="19" spans="1:27" x14ac:dyDescent="0.25">
      <c r="A19" t="s">
        <v>17</v>
      </c>
      <c r="I19">
        <v>27269</v>
      </c>
      <c r="J19">
        <v>27446</v>
      </c>
      <c r="K19">
        <v>27457</v>
      </c>
      <c r="L19">
        <v>27626</v>
      </c>
      <c r="M19">
        <v>27258</v>
      </c>
      <c r="N19">
        <f>26530+1976</f>
        <v>28506</v>
      </c>
      <c r="O19">
        <f>26602+1876</f>
        <v>28478</v>
      </c>
      <c r="P19">
        <f>26668+1961</f>
        <v>28629</v>
      </c>
      <c r="Q19">
        <f>26089+1789</f>
        <v>27878</v>
      </c>
      <c r="R19">
        <f>26889+1997</f>
        <v>28886</v>
      </c>
      <c r="S19">
        <f>26892+2000</f>
        <v>28892</v>
      </c>
    </row>
    <row r="20" spans="1:27" x14ac:dyDescent="0.25">
      <c r="A20" t="s">
        <v>18</v>
      </c>
      <c r="J20">
        <v>30889</v>
      </c>
      <c r="K20">
        <v>31159</v>
      </c>
      <c r="L20">
        <v>31390</v>
      </c>
      <c r="M20">
        <v>31111</v>
      </c>
      <c r="N20">
        <f>30215+2166</f>
        <v>32381</v>
      </c>
      <c r="O20">
        <f>30283+2162</f>
        <v>32445</v>
      </c>
      <c r="P20">
        <f>30356+2161</f>
        <v>32517</v>
      </c>
      <c r="Q20">
        <f>29760+2010</f>
        <v>31770</v>
      </c>
      <c r="R20">
        <f>30630+2182</f>
        <v>32812</v>
      </c>
      <c r="S20">
        <f>30631+2186</f>
        <v>32817</v>
      </c>
      <c r="T20">
        <f>30629+2186</f>
        <v>32815</v>
      </c>
    </row>
    <row r="21" spans="1:27" x14ac:dyDescent="0.25">
      <c r="A21" t="s">
        <v>19</v>
      </c>
      <c r="K21">
        <v>35735</v>
      </c>
      <c r="L21">
        <v>38541</v>
      </c>
      <c r="M21">
        <v>36880</v>
      </c>
      <c r="N21">
        <f>35758+2705</f>
        <v>38463</v>
      </c>
      <c r="O21">
        <f>35824+2711</f>
        <v>38535</v>
      </c>
      <c r="P21">
        <f>35855+2711</f>
        <v>38566</v>
      </c>
      <c r="Q21">
        <f>35199+2501</f>
        <v>37700</v>
      </c>
      <c r="R21">
        <f>36250+2724</f>
        <v>38974</v>
      </c>
      <c r="S21">
        <f>36250+2729</f>
        <v>38979</v>
      </c>
      <c r="T21">
        <f>36376+2729</f>
        <v>39105</v>
      </c>
      <c r="U21">
        <f>36359+2727</f>
        <v>39086</v>
      </c>
    </row>
    <row r="22" spans="1:27" x14ac:dyDescent="0.25">
      <c r="A22" t="s">
        <v>20</v>
      </c>
      <c r="L22">
        <v>44680</v>
      </c>
      <c r="M22">
        <v>43218</v>
      </c>
      <c r="N22">
        <f>41650+3347</f>
        <v>44997</v>
      </c>
      <c r="O22">
        <f>41713+3358</f>
        <v>45071</v>
      </c>
      <c r="P22">
        <f>41740+3358</f>
        <v>45098</v>
      </c>
      <c r="Q22">
        <f>41078+3158</f>
        <v>44236</v>
      </c>
      <c r="R22">
        <f>42195+3374</f>
        <v>45569</v>
      </c>
      <c r="S22">
        <f>42196+3380</f>
        <v>45576</v>
      </c>
      <c r="T22">
        <f>42531+3380</f>
        <v>45911</v>
      </c>
      <c r="U22">
        <f>42514+3379</f>
        <v>45893</v>
      </c>
      <c r="V22">
        <f>42403+3492</f>
        <v>45895</v>
      </c>
    </row>
    <row r="23" spans="1:27" x14ac:dyDescent="0.25">
      <c r="A23" t="s">
        <v>21</v>
      </c>
      <c r="M23">
        <v>49033</v>
      </c>
      <c r="N23">
        <f>47229+3893</f>
        <v>51122</v>
      </c>
      <c r="O23">
        <f>47339+3895</f>
        <v>51234</v>
      </c>
      <c r="P23">
        <f>47360+3895</f>
        <v>51255</v>
      </c>
      <c r="Q23">
        <f>46642+3602</f>
        <v>50244</v>
      </c>
      <c r="R23">
        <f>47852+3930</f>
        <v>51782</v>
      </c>
      <c r="S23">
        <f>47850+3938</f>
        <v>51788</v>
      </c>
      <c r="T23">
        <f>48228+3938</f>
        <v>52166</v>
      </c>
      <c r="U23">
        <f>48208+3938</f>
        <v>52146</v>
      </c>
      <c r="V23">
        <f>48085+4056</f>
        <v>52141</v>
      </c>
      <c r="W23">
        <f>48070+4056</f>
        <v>52126</v>
      </c>
    </row>
    <row r="24" spans="1:27" x14ac:dyDescent="0.25">
      <c r="A24" t="s">
        <v>22</v>
      </c>
      <c r="N24">
        <f>51236+4066</f>
        <v>55302</v>
      </c>
      <c r="O24">
        <f>52067+4018</f>
        <v>56085</v>
      </c>
      <c r="P24">
        <f>52072+4007</f>
        <v>56079</v>
      </c>
      <c r="Q24">
        <f>51134+3628</f>
        <v>54762</v>
      </c>
      <c r="R24">
        <f>52528+4079</f>
        <v>56607</v>
      </c>
      <c r="S24">
        <f>52528+4092</f>
        <v>56620</v>
      </c>
      <c r="T24">
        <f>52963+4092</f>
        <v>57055</v>
      </c>
      <c r="U24">
        <f>52920+4091</f>
        <v>57011</v>
      </c>
      <c r="V24">
        <f>52868+4141</f>
        <v>57009</v>
      </c>
      <c r="W24">
        <f>52860+4141</f>
        <v>57001</v>
      </c>
      <c r="X24">
        <f>52860+4141</f>
        <v>57001</v>
      </c>
    </row>
    <row r="25" spans="1:27" x14ac:dyDescent="0.25">
      <c r="A25" t="s">
        <v>23</v>
      </c>
      <c r="O25">
        <f>55709+4095</f>
        <v>59804</v>
      </c>
      <c r="P25">
        <f>56157+4127</f>
        <v>60284</v>
      </c>
      <c r="Q25">
        <f>55404+3600</f>
        <v>59004</v>
      </c>
      <c r="R25">
        <f>56693+4216</f>
        <v>60909</v>
      </c>
      <c r="S25">
        <f>56685+4232</f>
        <v>60917</v>
      </c>
      <c r="T25">
        <f>57310+4232</f>
        <v>61542</v>
      </c>
      <c r="U25">
        <f>57260+4231</f>
        <v>61491</v>
      </c>
      <c r="V25">
        <f>57205+4284</f>
        <v>61489</v>
      </c>
      <c r="W25">
        <f>57202+4284</f>
        <v>61486</v>
      </c>
      <c r="X25">
        <f>57202+4284</f>
        <v>61486</v>
      </c>
      <c r="Y25">
        <f>57182+4284</f>
        <v>61466</v>
      </c>
    </row>
    <row r="26" spans="1:27" x14ac:dyDescent="0.25">
      <c r="A26" t="s">
        <v>24</v>
      </c>
      <c r="P26">
        <f>60309+3886</f>
        <v>64195</v>
      </c>
      <c r="Q26">
        <f>59634+3436</f>
        <v>63070</v>
      </c>
      <c r="R26">
        <f>61095+4035</f>
        <v>65130</v>
      </c>
      <c r="S26">
        <f>61088+4051</f>
        <v>65139</v>
      </c>
      <c r="T26">
        <f>61752+4051</f>
        <v>65803</v>
      </c>
      <c r="U26">
        <f>61664+4051</f>
        <v>65715</v>
      </c>
      <c r="V26">
        <f>61613+4112</f>
        <v>65725</v>
      </c>
      <c r="W26">
        <f>61616+4112</f>
        <v>65728</v>
      </c>
      <c r="X26">
        <f>61616+4112</f>
        <v>65728</v>
      </c>
      <c r="Y26">
        <f>61602+4112</f>
        <v>65714</v>
      </c>
      <c r="Z26">
        <f>61605+4110</f>
        <v>65715</v>
      </c>
    </row>
    <row r="27" spans="1:27" x14ac:dyDescent="0.25">
      <c r="A27" t="s">
        <v>25</v>
      </c>
      <c r="Q27">
        <f>63425.8+3762.3</f>
        <v>67188.100000000006</v>
      </c>
      <c r="R27">
        <f>63297+3721</f>
        <v>67018</v>
      </c>
      <c r="S27">
        <f>63290+3736</f>
        <v>67026</v>
      </c>
      <c r="T27">
        <f>64140+3736</f>
        <v>67876</v>
      </c>
      <c r="U27">
        <f>64019+3736</f>
        <v>67755</v>
      </c>
      <c r="V27">
        <f>63970+3792</f>
        <v>67762</v>
      </c>
      <c r="W27">
        <f>63975+3792</f>
        <v>67767</v>
      </c>
      <c r="X27" s="12">
        <f>63984+3792</f>
        <v>67776</v>
      </c>
      <c r="Y27">
        <f>63941+3792</f>
        <v>67733</v>
      </c>
      <c r="Z27">
        <f>63942+3789</f>
        <v>67731</v>
      </c>
      <c r="AA27">
        <f>63930+3792</f>
        <v>67722</v>
      </c>
    </row>
    <row r="28" spans="1:27" x14ac:dyDescent="0.25">
      <c r="A28" t="s">
        <v>26</v>
      </c>
      <c r="R28">
        <f>67524+3976</f>
        <v>71500</v>
      </c>
      <c r="S28">
        <f>67808+3926</f>
        <v>71734</v>
      </c>
      <c r="T28">
        <f>68869+3926</f>
        <v>72795</v>
      </c>
      <c r="U28">
        <f>68737+3928</f>
        <v>72665</v>
      </c>
      <c r="V28">
        <f>68688+3982</f>
        <v>72670</v>
      </c>
      <c r="W28">
        <f>68693+3982</f>
        <v>72675</v>
      </c>
      <c r="X28" s="12">
        <f>68734+3982</f>
        <v>72716</v>
      </c>
      <c r="Y28">
        <f>68749+3982</f>
        <v>72731</v>
      </c>
      <c r="Z28">
        <f>68746+3979</f>
        <v>72725</v>
      </c>
      <c r="AA28">
        <f>68728+3982</f>
        <v>72710</v>
      </c>
    </row>
    <row r="29" spans="1:27" x14ac:dyDescent="0.25">
      <c r="A29" t="s">
        <v>27</v>
      </c>
      <c r="R29">
        <f>71299+4084</f>
        <v>75383</v>
      </c>
      <c r="S29">
        <f>72407+4124</f>
        <v>76531</v>
      </c>
      <c r="T29">
        <f>75186+4245</f>
        <v>79431</v>
      </c>
      <c r="U29">
        <f>74606+4663</f>
        <v>79269</v>
      </c>
      <c r="V29">
        <f>74559+4946</f>
        <v>79505</v>
      </c>
      <c r="W29">
        <f>74566+4946</f>
        <v>79512</v>
      </c>
      <c r="X29" s="12">
        <f>74653+4946</f>
        <v>79599</v>
      </c>
      <c r="Y29">
        <f>74669+4946</f>
        <v>79615</v>
      </c>
      <c r="Z29">
        <f>74665+4943</f>
        <v>79608</v>
      </c>
      <c r="AA29">
        <f>74642+4946</f>
        <v>79588</v>
      </c>
    </row>
    <row r="30" spans="1:27" x14ac:dyDescent="0.25">
      <c r="A30" t="s">
        <v>28</v>
      </c>
      <c r="R30">
        <f>73990+4004</f>
        <v>77994</v>
      </c>
      <c r="S30">
        <f>75533+4034</f>
        <v>79567</v>
      </c>
      <c r="T30">
        <f>80795+3981</f>
        <v>84776</v>
      </c>
      <c r="U30">
        <f>81110+4150</f>
        <v>85260</v>
      </c>
      <c r="V30">
        <f>81072+4448</f>
        <v>85520</v>
      </c>
      <c r="W30">
        <f>81081+4448</f>
        <v>85529</v>
      </c>
      <c r="X30" s="12">
        <f>81225+4448</f>
        <v>85673</v>
      </c>
      <c r="Y30">
        <f>81235+4448</f>
        <v>85683</v>
      </c>
      <c r="Z30">
        <f>81229+4445</f>
        <v>85674</v>
      </c>
      <c r="AA30">
        <f>81200+4448</f>
        <v>85648</v>
      </c>
    </row>
    <row r="31" spans="1:27" x14ac:dyDescent="0.25">
      <c r="A31" t="s">
        <v>29</v>
      </c>
      <c r="R31">
        <f>76642+3977</f>
        <v>80619</v>
      </c>
      <c r="S31">
        <f>78877+4021</f>
        <v>82898</v>
      </c>
      <c r="T31">
        <f>83880+3932</f>
        <v>87812</v>
      </c>
      <c r="U31">
        <f>86658+5638</f>
        <v>92296</v>
      </c>
      <c r="V31">
        <f>86240+5651</f>
        <v>91891</v>
      </c>
      <c r="W31">
        <f>86247+5651</f>
        <v>91898</v>
      </c>
      <c r="X31" s="12">
        <f>86438+5651</f>
        <v>92089</v>
      </c>
      <c r="Y31">
        <f>86463+5650</f>
        <v>92113</v>
      </c>
      <c r="Z31">
        <f>86465+5643</f>
        <v>92108</v>
      </c>
      <c r="AA31">
        <f>86433+5650</f>
        <v>92083</v>
      </c>
    </row>
    <row r="32" spans="1:27" x14ac:dyDescent="0.25">
      <c r="A32" t="s">
        <v>30</v>
      </c>
      <c r="S32">
        <f>82345+3829</f>
        <v>86174</v>
      </c>
      <c r="T32">
        <f>86910+3756</f>
        <v>90666</v>
      </c>
      <c r="U32">
        <f>91593+4205</f>
        <v>95798</v>
      </c>
      <c r="V32">
        <f>92861+4243</f>
        <v>97104</v>
      </c>
      <c r="W32">
        <f>93254+4100</f>
        <v>97354</v>
      </c>
      <c r="X32" s="12">
        <f>93314+4013</f>
        <v>97327</v>
      </c>
      <c r="Y32">
        <f>93342+4013</f>
        <v>97355</v>
      </c>
      <c r="Z32">
        <f>93343+4005</f>
        <v>97348</v>
      </c>
      <c r="AA32">
        <f>93307+4012</f>
        <v>97319</v>
      </c>
    </row>
    <row r="33" spans="1:44" x14ac:dyDescent="0.25">
      <c r="A33" t="s">
        <v>31</v>
      </c>
      <c r="T33">
        <f>89283+3691</f>
        <v>92974</v>
      </c>
      <c r="U33">
        <f>94758+3516</f>
        <v>98274</v>
      </c>
      <c r="V33">
        <f>97658+3605</f>
        <v>101263</v>
      </c>
      <c r="W33">
        <f>99444+3503</f>
        <v>102947</v>
      </c>
      <c r="X33" s="12">
        <f>99778+3388</f>
        <v>103166</v>
      </c>
      <c r="Y33">
        <f>99322+3408</f>
        <v>102730</v>
      </c>
      <c r="Z33">
        <f>99325+3345</f>
        <v>102670</v>
      </c>
      <c r="AA33">
        <f>99289+3360</f>
        <v>102649</v>
      </c>
    </row>
    <row r="34" spans="1:44" x14ac:dyDescent="0.25">
      <c r="A34" t="s">
        <v>32</v>
      </c>
      <c r="U34">
        <f>97907+3316</f>
        <v>101223</v>
      </c>
      <c r="V34">
        <f>101546+3340</f>
        <v>104886</v>
      </c>
      <c r="W34">
        <f>103137+3090</f>
        <v>106227</v>
      </c>
      <c r="X34" s="12">
        <f>105887+3470</f>
        <v>109357</v>
      </c>
      <c r="Y34">
        <f>106579+3277</f>
        <v>109856</v>
      </c>
      <c r="Z34">
        <f>106577+3273</f>
        <v>109850</v>
      </c>
      <c r="AA34">
        <f>106543+3273</f>
        <v>109816</v>
      </c>
    </row>
    <row r="35" spans="1:44" x14ac:dyDescent="0.25">
      <c r="A35" t="s">
        <v>33</v>
      </c>
      <c r="V35">
        <f>105044+3271</f>
        <v>108315</v>
      </c>
      <c r="W35">
        <f>106556+2942</f>
        <v>109498</v>
      </c>
      <c r="X35" s="12">
        <f>109056+3064</f>
        <v>112120</v>
      </c>
      <c r="Y35">
        <f>110231+2939</f>
        <v>113170</v>
      </c>
      <c r="Z35">
        <f>110450+3723</f>
        <v>114173</v>
      </c>
      <c r="AA35">
        <f>109967+3642</f>
        <v>113609</v>
      </c>
    </row>
    <row r="36" spans="1:44" x14ac:dyDescent="0.25">
      <c r="A36" t="s">
        <v>34</v>
      </c>
      <c r="W36">
        <f>109943+2930</f>
        <v>112873</v>
      </c>
      <c r="X36" s="12">
        <f>111559+2903</f>
        <v>114462</v>
      </c>
      <c r="Y36">
        <f>112579+2741</f>
        <v>115320</v>
      </c>
      <c r="Z36">
        <f>111688+2781</f>
        <v>114469</v>
      </c>
      <c r="AA36">
        <f>111036+2697</f>
        <v>113733</v>
      </c>
    </row>
    <row r="37" spans="1:44" x14ac:dyDescent="0.25">
      <c r="A37" t="s">
        <v>35</v>
      </c>
      <c r="X37" s="12">
        <f>114988+2892</f>
        <v>117880</v>
      </c>
      <c r="Y37">
        <f>117115+2686</f>
        <v>119801</v>
      </c>
      <c r="Z37">
        <f>113741+2652</f>
        <v>116393</v>
      </c>
      <c r="AA37">
        <f>113486+2765</f>
        <v>116251</v>
      </c>
      <c r="AB37">
        <f>93372+363</f>
        <v>93735</v>
      </c>
    </row>
    <row r="38" spans="1:44" x14ac:dyDescent="0.25">
      <c r="A38" t="s">
        <v>36</v>
      </c>
      <c r="Y38">
        <f>122280+2625</f>
        <v>124905</v>
      </c>
      <c r="Z38">
        <f>116765+2604</f>
        <v>119369</v>
      </c>
      <c r="AA38">
        <f>116916+2630</f>
        <v>119546</v>
      </c>
      <c r="AB38">
        <f>97524+365</f>
        <v>97889</v>
      </c>
      <c r="AC38">
        <f>100194+200</f>
        <v>100394</v>
      </c>
    </row>
    <row r="39" spans="1:44" x14ac:dyDescent="0.25">
      <c r="A39" t="s">
        <v>37</v>
      </c>
      <c r="Z39">
        <f>118890+2618</f>
        <v>121508</v>
      </c>
      <c r="AA39">
        <f>119697+2626</f>
        <v>122323</v>
      </c>
      <c r="AB39">
        <f>85399+367</f>
        <v>85766</v>
      </c>
      <c r="AC39">
        <f>117581+200</f>
        <v>117781</v>
      </c>
      <c r="AD39">
        <f>120096+2925</f>
        <v>123021</v>
      </c>
    </row>
    <row r="40" spans="1:44" x14ac:dyDescent="0.25">
      <c r="A40" t="s">
        <v>38</v>
      </c>
      <c r="AA40">
        <f>122917+2556</f>
        <v>125473</v>
      </c>
      <c r="AB40">
        <f>90084+218</f>
        <v>90302</v>
      </c>
      <c r="AC40">
        <f>127784+200</f>
        <v>127984</v>
      </c>
      <c r="AD40">
        <f>125193+3314</f>
        <v>128507</v>
      </c>
      <c r="AE40">
        <f>129767+3640</f>
        <v>133407</v>
      </c>
    </row>
    <row r="41" spans="1:44" x14ac:dyDescent="0.25">
      <c r="A41" t="s">
        <v>39</v>
      </c>
      <c r="AB41">
        <f>92702+221</f>
        <v>92923</v>
      </c>
      <c r="AC41">
        <f>131303+200</f>
        <v>131503</v>
      </c>
      <c r="AD41">
        <f>131579+3017</f>
        <v>134596</v>
      </c>
      <c r="AE41">
        <f>133757+3003</f>
        <v>136760</v>
      </c>
      <c r="AF41">
        <f>134575+3161</f>
        <v>137736</v>
      </c>
    </row>
    <row r="42" spans="1:44" x14ac:dyDescent="0.25">
      <c r="A42" t="s">
        <v>40</v>
      </c>
      <c r="AC42">
        <f>137014+200</f>
        <v>137214</v>
      </c>
      <c r="AD42">
        <f>137932+2842</f>
        <v>140774</v>
      </c>
      <c r="AE42">
        <f>140950+2803</f>
        <v>143753</v>
      </c>
      <c r="AF42">
        <f>141061+2930</f>
        <v>143991</v>
      </c>
      <c r="AG42" s="1">
        <f>146028+3171</f>
        <v>149199</v>
      </c>
      <c r="AH42" s="1"/>
      <c r="AI42" s="1"/>
      <c r="AJ42" s="1"/>
      <c r="AK42" s="1"/>
      <c r="AL42" s="1"/>
      <c r="AM42" s="1"/>
      <c r="AN42" s="1"/>
      <c r="AO42" s="1"/>
      <c r="AP42" s="1"/>
      <c r="AQ42" s="1"/>
      <c r="AR42" s="1"/>
    </row>
    <row r="43" spans="1:44" x14ac:dyDescent="0.25">
      <c r="A43" t="s">
        <v>41</v>
      </c>
      <c r="AD43">
        <f>144033+2858</f>
        <v>146891</v>
      </c>
      <c r="AE43">
        <f>148023+3107</f>
        <v>151130</v>
      </c>
      <c r="AF43">
        <f>149022+3233</f>
        <v>152255</v>
      </c>
      <c r="AG43" s="1">
        <f>152593+3501</f>
        <v>156094</v>
      </c>
      <c r="AH43" s="1">
        <f>153701+3591</f>
        <v>157292</v>
      </c>
      <c r="AI43" s="1"/>
      <c r="AJ43" s="1"/>
      <c r="AK43" s="1"/>
      <c r="AL43" s="1"/>
      <c r="AM43" s="1"/>
      <c r="AN43" s="1"/>
      <c r="AO43" s="1"/>
      <c r="AP43" s="1"/>
      <c r="AQ43" s="1"/>
      <c r="AR43" s="1"/>
    </row>
    <row r="44" spans="1:44" x14ac:dyDescent="0.25">
      <c r="A44" t="s">
        <v>42</v>
      </c>
      <c r="AE44">
        <f>155520+2905</f>
        <v>158425</v>
      </c>
      <c r="AF44">
        <f>157279+3043</f>
        <v>160322</v>
      </c>
      <c r="AG44" s="1">
        <f>161429+3320</f>
        <v>164749</v>
      </c>
      <c r="AH44" s="1">
        <f>162004+3854</f>
        <v>165858</v>
      </c>
      <c r="AI44" s="1">
        <f>161038+4250</f>
        <v>165288</v>
      </c>
      <c r="AJ44" s="1"/>
      <c r="AK44" s="1"/>
      <c r="AL44" s="1"/>
      <c r="AM44" s="1"/>
      <c r="AN44" s="1"/>
      <c r="AO44" s="1"/>
      <c r="AP44" s="1"/>
      <c r="AQ44" s="1"/>
      <c r="AR44" s="1"/>
    </row>
    <row r="45" spans="1:44" x14ac:dyDescent="0.25">
      <c r="A45" t="s">
        <v>43</v>
      </c>
      <c r="AF45">
        <f>165135+2977</f>
        <v>168112</v>
      </c>
      <c r="AG45" s="1">
        <f>170330+3575</f>
        <v>173905</v>
      </c>
      <c r="AH45" s="1">
        <f>169897+4207</f>
        <v>174104</v>
      </c>
      <c r="AI45" s="1">
        <f>169517+4881</f>
        <v>174398</v>
      </c>
      <c r="AJ45" s="1">
        <f>173208+5986</f>
        <v>179194</v>
      </c>
      <c r="AK45" s="1"/>
      <c r="AL45" s="1"/>
      <c r="AM45" s="1"/>
      <c r="AN45" s="1"/>
      <c r="AO45" s="1"/>
      <c r="AP45" s="1"/>
      <c r="AQ45" s="1"/>
      <c r="AR45" s="1"/>
    </row>
    <row r="46" spans="1:44" x14ac:dyDescent="0.25">
      <c r="A46" t="s">
        <v>44</v>
      </c>
      <c r="AG46" s="1">
        <f>180137+3657</f>
        <v>183794</v>
      </c>
      <c r="AH46" s="1">
        <f>179292+4384</f>
        <v>183676</v>
      </c>
      <c r="AI46" s="1">
        <f>180330+5195</f>
        <v>185525</v>
      </c>
      <c r="AJ46" s="1">
        <f>181642+7168</f>
        <v>188810</v>
      </c>
      <c r="AK46" s="1">
        <f>183432+7267</f>
        <v>190699</v>
      </c>
      <c r="AL46" s="1"/>
      <c r="AM46" s="1"/>
      <c r="AN46" s="1"/>
      <c r="AO46" s="1"/>
      <c r="AP46" s="1"/>
      <c r="AQ46" s="1"/>
      <c r="AR46" s="1"/>
    </row>
    <row r="47" spans="1:44" x14ac:dyDescent="0.25">
      <c r="A47" t="s">
        <v>45</v>
      </c>
      <c r="AG47" s="1"/>
      <c r="AH47" s="1">
        <f>190870+4318</f>
        <v>195188</v>
      </c>
      <c r="AI47" s="1">
        <f>190685+5520</f>
        <v>196205</v>
      </c>
      <c r="AJ47" s="1">
        <f>191589+7687</f>
        <v>199276</v>
      </c>
      <c r="AK47" s="1">
        <f>191647+7611</f>
        <v>199258</v>
      </c>
      <c r="AL47" s="1">
        <f>214448+11430</f>
        <v>225878</v>
      </c>
      <c r="AM47" s="1"/>
      <c r="AN47" s="1"/>
      <c r="AO47" s="1"/>
      <c r="AP47" s="1"/>
      <c r="AQ47" s="1"/>
      <c r="AR47" s="1"/>
    </row>
    <row r="48" spans="1:44" x14ac:dyDescent="0.25">
      <c r="A48" t="s">
        <v>46</v>
      </c>
      <c r="AG48" s="1"/>
      <c r="AH48" s="1"/>
      <c r="AI48" s="1">
        <f>202337+4600</f>
        <v>206937</v>
      </c>
      <c r="AJ48" s="1">
        <f>201995+7625</f>
        <v>209620</v>
      </c>
      <c r="AK48" s="1">
        <f>205813+7897</f>
        <v>213710</v>
      </c>
      <c r="AL48" s="1">
        <f>209885+20091</f>
        <v>229976</v>
      </c>
      <c r="AM48" s="1">
        <f>209820+24342</f>
        <v>234162</v>
      </c>
      <c r="AN48" s="1"/>
      <c r="AO48" s="1"/>
      <c r="AP48" s="1"/>
      <c r="AQ48" s="1"/>
      <c r="AR48" s="1"/>
    </row>
    <row r="49" spans="1:44" x14ac:dyDescent="0.25">
      <c r="A49" t="s">
        <v>47</v>
      </c>
      <c r="AG49" s="1"/>
      <c r="AH49" s="1"/>
      <c r="AI49" s="1"/>
      <c r="AJ49" s="1">
        <f>212895+7521</f>
        <v>220416</v>
      </c>
      <c r="AK49" s="1">
        <f>215517+7711</f>
        <v>223228</v>
      </c>
      <c r="AL49" s="1">
        <f>220345+13490</f>
        <v>233835</v>
      </c>
      <c r="AM49" s="1">
        <f>223745+14556</f>
        <v>238301</v>
      </c>
      <c r="AN49" s="1">
        <f>218140+15719</f>
        <v>233859</v>
      </c>
      <c r="AO49" s="1"/>
      <c r="AP49" s="1"/>
      <c r="AQ49" s="1"/>
      <c r="AR49" s="1"/>
    </row>
    <row r="50" spans="1:44" x14ac:dyDescent="0.25">
      <c r="A50" t="s">
        <v>48</v>
      </c>
      <c r="AG50" s="1"/>
      <c r="AH50" s="1"/>
      <c r="AI50" s="1"/>
      <c r="AJ50" s="1"/>
      <c r="AK50" s="1">
        <f>229228+8448</f>
        <v>237676</v>
      </c>
      <c r="AL50" s="1">
        <f>232483+7852</f>
        <v>240335</v>
      </c>
      <c r="AM50" s="1">
        <f>234709+10254</f>
        <v>244963</v>
      </c>
      <c r="AN50" s="1">
        <f>230226+12055</f>
        <v>242281</v>
      </c>
      <c r="AO50" s="1">
        <f>233258+15179</f>
        <v>248437</v>
      </c>
      <c r="AP50" s="1"/>
      <c r="AQ50" s="1"/>
      <c r="AR50" s="1"/>
    </row>
    <row r="51" spans="1:44" x14ac:dyDescent="0.25">
      <c r="A51" t="s">
        <v>49</v>
      </c>
      <c r="AG51" s="1"/>
      <c r="AH51" s="1"/>
      <c r="AI51" s="1"/>
      <c r="AJ51" s="1"/>
      <c r="AK51" s="1"/>
      <c r="AL51" s="1">
        <f>247342+7796</f>
        <v>255138</v>
      </c>
      <c r="AM51" s="1">
        <f>246728+10441</f>
        <v>257169</v>
      </c>
      <c r="AN51" s="1">
        <f>244650+11175</f>
        <v>255825</v>
      </c>
      <c r="AO51" s="1">
        <f>240637+8589</f>
        <v>249226</v>
      </c>
      <c r="AP51" s="1">
        <f>240548+9923</f>
        <v>250471</v>
      </c>
      <c r="AQ51" s="1"/>
      <c r="AR51" s="1"/>
    </row>
    <row r="52" spans="1:44" x14ac:dyDescent="0.25">
      <c r="A52" t="s">
        <v>50</v>
      </c>
      <c r="AG52" s="1"/>
      <c r="AH52" s="1"/>
      <c r="AI52" s="1"/>
      <c r="AJ52" s="1"/>
      <c r="AK52" s="1"/>
      <c r="AL52" s="1"/>
      <c r="AM52" s="1">
        <f>258573+9294</f>
        <v>267867</v>
      </c>
      <c r="AN52" s="1">
        <f>258490+10894</f>
        <v>269384</v>
      </c>
      <c r="AO52" s="1">
        <f>257269+10271</f>
        <v>267540</v>
      </c>
      <c r="AP52" s="1">
        <f>254780+10042</f>
        <v>264822</v>
      </c>
      <c r="AQ52" s="1">
        <f>257915+21830</f>
        <v>279745</v>
      </c>
      <c r="AR52" s="1"/>
    </row>
    <row r="53" spans="1:44" x14ac:dyDescent="0.25">
      <c r="A53" t="s">
        <v>51</v>
      </c>
      <c r="AG53" s="1"/>
      <c r="AH53" s="1"/>
      <c r="AI53" s="1"/>
      <c r="AJ53" s="1"/>
      <c r="AK53" s="1"/>
      <c r="AL53" s="1"/>
      <c r="AM53" s="1"/>
      <c r="AN53" s="1">
        <f>273214+6264</f>
        <v>279478</v>
      </c>
      <c r="AO53" s="1">
        <f>272534+8153</f>
        <v>280687</v>
      </c>
      <c r="AP53" s="1">
        <f>268953+9650</f>
        <v>278603</v>
      </c>
      <c r="AQ53" s="1">
        <f>262641+10818</f>
        <v>273459</v>
      </c>
      <c r="AR53" s="1">
        <f>267620-9288</f>
        <v>258332</v>
      </c>
    </row>
    <row r="54" spans="1:44" x14ac:dyDescent="0.25">
      <c r="A54" t="s">
        <v>52</v>
      </c>
      <c r="AG54" s="1"/>
      <c r="AH54" s="1"/>
      <c r="AI54" s="1"/>
      <c r="AJ54" s="1"/>
      <c r="AK54" s="1"/>
      <c r="AL54" s="1"/>
      <c r="AM54" s="1"/>
      <c r="AN54" s="1"/>
      <c r="AO54" s="1">
        <f>288311+8227</f>
        <v>296538</v>
      </c>
      <c r="AP54" s="1">
        <f>278525+8824</f>
        <v>287349</v>
      </c>
      <c r="AQ54" s="1">
        <f>273294+12681</f>
        <v>285975</v>
      </c>
      <c r="AR54" s="1">
        <f>274191-10840</f>
        <v>263351</v>
      </c>
    </row>
    <row r="55" spans="1:44" x14ac:dyDescent="0.25">
      <c r="A55" t="s">
        <v>53</v>
      </c>
      <c r="AG55" s="1"/>
      <c r="AH55" s="1"/>
      <c r="AI55" s="1"/>
      <c r="AJ55" s="1"/>
      <c r="AK55" s="1"/>
      <c r="AL55" s="1"/>
      <c r="AM55" s="1"/>
      <c r="AN55" s="1"/>
      <c r="AO55" s="1"/>
      <c r="AP55" s="1">
        <f>298403+7983</f>
        <v>306386</v>
      </c>
      <c r="AQ55" s="1">
        <f>290004+13651</f>
        <v>303655</v>
      </c>
      <c r="AR55" s="1">
        <f>286741-13234</f>
        <v>273507</v>
      </c>
    </row>
    <row r="56" spans="1:44" x14ac:dyDescent="0.25">
      <c r="A56" t="s">
        <v>54</v>
      </c>
      <c r="AG56" s="1"/>
      <c r="AH56" s="1"/>
      <c r="AI56" s="1"/>
      <c r="AJ56" s="1"/>
      <c r="AK56" s="1"/>
      <c r="AL56" s="1"/>
      <c r="AM56" s="1"/>
      <c r="AN56" s="1"/>
      <c r="AO56" s="1"/>
      <c r="AP56" s="1"/>
      <c r="AQ56" s="1">
        <f>309101+10434</f>
        <v>319535</v>
      </c>
      <c r="AR56" s="1">
        <f>297407-11532</f>
        <v>285875</v>
      </c>
    </row>
    <row r="57" spans="1:44" x14ac:dyDescent="0.25">
      <c r="AG57" s="1"/>
      <c r="AH57" s="1"/>
      <c r="AI57" s="1"/>
      <c r="AJ57" s="1"/>
      <c r="AK57" s="1"/>
      <c r="AL57" s="1"/>
      <c r="AM57" s="1"/>
      <c r="AN57" s="1"/>
      <c r="AO57" s="1"/>
      <c r="AP57" s="1"/>
      <c r="AQ57" s="1"/>
      <c r="AR57" s="1">
        <f>321940-8830</f>
        <v>313110</v>
      </c>
    </row>
    <row r="58" spans="1:44" x14ac:dyDescent="0.25">
      <c r="AG58" s="1"/>
      <c r="AH58" s="1"/>
      <c r="AI58" s="1"/>
      <c r="AJ58" s="1"/>
      <c r="AK58" s="1"/>
      <c r="AL58" s="1"/>
      <c r="AM58" s="1"/>
      <c r="AN58" s="1"/>
      <c r="AO58" s="1"/>
      <c r="AP58" s="1"/>
      <c r="AQ58" s="1"/>
      <c r="AR58" s="1"/>
    </row>
    <row r="59" spans="1:44" x14ac:dyDescent="0.25">
      <c r="AG59" s="1"/>
      <c r="AH59" s="1"/>
      <c r="AI59" s="1"/>
      <c r="AJ59" s="1"/>
      <c r="AK59" s="1"/>
      <c r="AL59" s="1"/>
      <c r="AM59" s="1"/>
      <c r="AN59" s="1"/>
      <c r="AO59" s="1"/>
      <c r="AP59" s="1"/>
      <c r="AQ59" s="1"/>
      <c r="AR59" s="1"/>
    </row>
    <row r="60" spans="1:44" x14ac:dyDescent="0.25">
      <c r="AG60" s="1"/>
      <c r="AH60" s="1"/>
      <c r="AI60" s="1"/>
      <c r="AJ60" s="1"/>
      <c r="AK60" s="1"/>
      <c r="AL60" s="1"/>
      <c r="AM60" s="1"/>
      <c r="AN60" s="1"/>
      <c r="AO60" s="1"/>
      <c r="AP60" s="1"/>
      <c r="AQ60" s="1"/>
      <c r="AR6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Contents</vt:lpstr>
      <vt:lpstr>Goods and Services Expenditure</vt:lpstr>
      <vt:lpstr>Capital Expenditure</vt:lpstr>
      <vt:lpstr>Transfer Payments</vt:lpstr>
      <vt:lpstr>Contents!_ftn1</vt:lpstr>
      <vt:lpstr>Contents!_ftnref1</vt:lpstr>
    </vt:vector>
  </TitlesOfParts>
  <Company>The University of Melbourne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Sui-Lay Tan</dc:creator>
  <cp:lastModifiedBy>Madeleine Tan</cp:lastModifiedBy>
  <dcterms:created xsi:type="dcterms:W3CDTF">2015-12-01T00:37:01Z</dcterms:created>
  <dcterms:modified xsi:type="dcterms:W3CDTF">2016-01-06T07:11:56Z</dcterms:modified>
</cp:coreProperties>
</file>